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InkAnnotation="0"/>
  <mc:AlternateContent xmlns:mc="http://schemas.openxmlformats.org/markup-compatibility/2006">
    <mc:Choice Requires="x15">
      <x15ac:absPath xmlns:x15ac="http://schemas.microsoft.com/office/spreadsheetml/2010/11/ac" url="https://atriacloud-my.sharepoint.com/personal/tomi_karsikas_atria_com/Documents/Tiedostot/Katelaskelmat/Säilörehun tuotantokustannus/"/>
    </mc:Choice>
  </mc:AlternateContent>
  <xr:revisionPtr revIDLastSave="236" documentId="11_6C759C7FDCAAE04B7387E86270468CE646BC171D" xr6:coauthVersionLast="46" xr6:coauthVersionMax="46" xr10:uidLastSave="{7A799813-B3ED-4963-80BB-BBE96B5299E5}"/>
  <bookViews>
    <workbookView xWindow="-108" yWindow="-108" windowWidth="30936" windowHeight="16896" tabRatio="819" xr2:uid="{00000000-000D-0000-FFFF-FFFF00000000}"/>
  </bookViews>
  <sheets>
    <sheet name="Saate" sheetId="17" r:id="rId1"/>
    <sheet name="1. Pelto" sheetId="13" r:id="rId2"/>
    <sheet name="2. Sadon määrä" sheetId="16" r:id="rId3"/>
    <sheet name="3. Koneet" sheetId="6" r:id="rId4"/>
    <sheet name="4. Urakointi" sheetId="9" r:id="rId5"/>
    <sheet name="5. Rakennukset" sheetId="11" r:id="rId6"/>
    <sheet name="6. Työmenekki" sheetId="18" r:id="rId7"/>
    <sheet name="7. Laskelma" sheetId="7" r:id="rId8"/>
    <sheet name="Yhteenveto" sheetId="15" r:id="rId9"/>
    <sheet name="Pääoma" sheetId="19" r:id="rId10"/>
    <sheet name="Tuet" sheetId="8" r:id="rId11"/>
  </sheets>
  <definedNames>
    <definedName name="_xlnm._FilterDatabase" localSheetId="1" hidden="1">'1. Pelto'!$B$75:$J$75</definedName>
    <definedName name="Päätuotantosuunta">Yhteenveto!$B$46:$B$53</definedName>
    <definedName name="Tukialue">Tuet!$I$5:$I$9</definedName>
    <definedName name="_xlnm.Print_Area" localSheetId="1">'1. Pelto'!$A$2:$G$63</definedName>
    <definedName name="_xlnm.Print_Area" localSheetId="3">'3. Koneet'!$A$1:$X$37</definedName>
    <definedName name="_xlnm.Print_Area" localSheetId="4">'4. Urakointi'!$A$2:$G$30</definedName>
    <definedName name="_xlnm.Print_Area" localSheetId="5">'5. Rakennukset'!$A$1:$S$16</definedName>
    <definedName name="_xlnm.Print_Area" localSheetId="7">'7. Laskelma'!$A$2:$Q$62</definedName>
    <definedName name="_xlnm.Print_Area" localSheetId="0">Saate!$A$1:$L$135</definedName>
    <definedName name="_xlnm.Print_Area" localSheetId="10">Tuet!$A$1:$H$27</definedName>
    <definedName name="_xlnm.Print_Titles" localSheetId="3">'3. Koneet'!$A:$B,'3. Koneet'!$6:$7</definedName>
    <definedName name="_xlnm.Print_Titles" localSheetId="5">'5. Rakennukset'!$B:$B,'5. Rakennukset'!$6:$7</definedName>
    <definedName name="_xlnm.Print_Titles" localSheetId="7">'7. Laskelma'!$A:$A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6" l="1"/>
  <c r="I2" i="6"/>
  <c r="J23" i="16"/>
  <c r="M23" i="16"/>
  <c r="M21" i="16"/>
  <c r="M20" i="16"/>
  <c r="M19" i="16"/>
  <c r="M18" i="16"/>
  <c r="M17" i="16"/>
  <c r="M5" i="16"/>
  <c r="M6" i="16"/>
  <c r="M7" i="16"/>
  <c r="M8" i="16"/>
  <c r="M9" i="16"/>
  <c r="M10" i="16"/>
  <c r="M11" i="16"/>
  <c r="M12" i="16"/>
  <c r="M13" i="16"/>
  <c r="M4" i="16"/>
  <c r="C24" i="16"/>
  <c r="E21" i="13" l="1"/>
  <c r="E20" i="13"/>
  <c r="D18" i="16" l="1"/>
  <c r="D19" i="16"/>
  <c r="D20" i="16"/>
  <c r="D21" i="16"/>
  <c r="D17" i="16"/>
  <c r="F15" i="16"/>
  <c r="F19" i="16" s="1"/>
  <c r="G19" i="16" l="1"/>
  <c r="I19" i="16" s="1"/>
  <c r="F21" i="16"/>
  <c r="F20" i="16"/>
  <c r="F17" i="16"/>
  <c r="F18" i="16"/>
  <c r="D11" i="7"/>
  <c r="G18" i="16" l="1"/>
  <c r="I18" i="16" s="1"/>
  <c r="G20" i="16"/>
  <c r="I20" i="16" s="1"/>
  <c r="G17" i="16"/>
  <c r="I17" i="16" s="1"/>
  <c r="G21" i="16"/>
  <c r="I21" i="16" s="1"/>
  <c r="P11" i="7"/>
  <c r="C10" i="7"/>
  <c r="A10" i="7" s="1"/>
  <c r="K20" i="16"/>
  <c r="K9" i="16"/>
  <c r="K13" i="16"/>
  <c r="K8" i="16"/>
  <c r="K5" i="16"/>
  <c r="K18" i="16"/>
  <c r="K11" i="16"/>
  <c r="K6" i="16"/>
  <c r="K21" i="16"/>
  <c r="K17" i="16"/>
  <c r="K12" i="16"/>
  <c r="K19" i="16"/>
  <c r="L19" i="16" s="1"/>
  <c r="K10" i="16"/>
  <c r="K4" i="16"/>
  <c r="K23" i="16" s="1"/>
  <c r="K7" i="16"/>
  <c r="L11" i="7"/>
  <c r="H11" i="7"/>
  <c r="D3" i="19"/>
  <c r="C18" i="19"/>
  <c r="C9" i="19"/>
  <c r="B25" i="13"/>
  <c r="L18" i="16" l="1"/>
  <c r="L21" i="16"/>
  <c r="L20" i="16"/>
  <c r="L17" i="16"/>
  <c r="F12" i="16"/>
  <c r="F13" i="16"/>
  <c r="G13" i="16" l="1"/>
  <c r="I13" i="16" s="1"/>
  <c r="L13" i="16" s="1"/>
  <c r="G12" i="16"/>
  <c r="I12" i="16" s="1"/>
  <c r="L12" i="16" s="1"/>
  <c r="E49" i="13"/>
  <c r="E48" i="13"/>
  <c r="B7" i="13"/>
  <c r="E24" i="13" l="1"/>
  <c r="F6" i="19" s="1"/>
  <c r="G25" i="6"/>
  <c r="E8" i="11"/>
  <c r="D8" i="11"/>
  <c r="E32" i="13"/>
  <c r="E33" i="13" s="1"/>
  <c r="E34" i="13" l="1"/>
  <c r="C8" i="11" s="1"/>
  <c r="G12" i="6"/>
  <c r="L22" i="6" l="1"/>
  <c r="L23" i="6"/>
  <c r="L24" i="6"/>
  <c r="L25" i="6"/>
  <c r="L26" i="6"/>
  <c r="L27" i="6"/>
  <c r="L28" i="6"/>
  <c r="L29" i="6"/>
  <c r="L30" i="6"/>
  <c r="L31" i="6"/>
  <c r="L32" i="6"/>
  <c r="L33" i="6"/>
  <c r="L34" i="6"/>
  <c r="L35" i="6"/>
  <c r="L36" i="6"/>
  <c r="L37" i="6"/>
  <c r="L9" i="6"/>
  <c r="L10" i="6"/>
  <c r="L11" i="6"/>
  <c r="L12" i="6"/>
  <c r="L13" i="6"/>
  <c r="L14" i="6"/>
  <c r="L15" i="6"/>
  <c r="L16" i="6"/>
  <c r="L17" i="6"/>
  <c r="L18" i="6"/>
  <c r="L19" i="6"/>
  <c r="L20" i="6"/>
  <c r="L21" i="6"/>
  <c r="L8" i="6"/>
  <c r="H11" i="6"/>
  <c r="H12" i="6"/>
  <c r="H13" i="6"/>
  <c r="H14" i="6"/>
  <c r="H15" i="6"/>
  <c r="H16" i="6"/>
  <c r="H17" i="6"/>
  <c r="H18" i="6"/>
  <c r="H19" i="6"/>
  <c r="H20" i="6"/>
  <c r="H21" i="6"/>
  <c r="H22" i="6"/>
  <c r="H23" i="6"/>
  <c r="H24" i="6"/>
  <c r="H25" i="6"/>
  <c r="H26" i="6"/>
  <c r="H27" i="6"/>
  <c r="H28" i="6"/>
  <c r="H29" i="6"/>
  <c r="H30" i="6"/>
  <c r="H31" i="6"/>
  <c r="H32" i="6"/>
  <c r="H33" i="6"/>
  <c r="H34" i="6"/>
  <c r="H35" i="6"/>
  <c r="H36" i="6"/>
  <c r="H37" i="6"/>
  <c r="H10" i="6"/>
  <c r="H9" i="6"/>
  <c r="H8" i="6"/>
  <c r="L7" i="6" l="1"/>
  <c r="F6" i="6" s="1"/>
  <c r="D44" i="7"/>
  <c r="F6" i="16"/>
  <c r="G6" i="16" s="1"/>
  <c r="I6" i="16" l="1"/>
  <c r="L6" i="16" s="1"/>
  <c r="D23" i="7"/>
  <c r="E18" i="18" l="1"/>
  <c r="F18" i="18" s="1"/>
  <c r="E19" i="18"/>
  <c r="F19" i="18" s="1"/>
  <c r="E17" i="18"/>
  <c r="F17" i="18" s="1"/>
  <c r="E8" i="18"/>
  <c r="F8" i="18"/>
  <c r="E20" i="18" l="1"/>
  <c r="F20" i="18" s="1"/>
  <c r="E15" i="18" l="1"/>
  <c r="F15" i="18" s="1"/>
  <c r="B38" i="7"/>
  <c r="E13" i="18"/>
  <c r="F13" i="18" s="1"/>
  <c r="F4" i="16"/>
  <c r="F5" i="16"/>
  <c r="G5" i="16" s="1"/>
  <c r="F7" i="16"/>
  <c r="G7" i="16" s="1"/>
  <c r="F8" i="16"/>
  <c r="G8" i="16" s="1"/>
  <c r="F9" i="16"/>
  <c r="G9" i="16" s="1"/>
  <c r="F10" i="16"/>
  <c r="G10" i="16" s="1"/>
  <c r="F11" i="16"/>
  <c r="G11" i="16" s="1"/>
  <c r="G4" i="16" l="1"/>
  <c r="I4" i="16" s="1"/>
  <c r="F23" i="16"/>
  <c r="F24" i="16" s="1"/>
  <c r="I11" i="16"/>
  <c r="L11" i="16" s="1"/>
  <c r="I9" i="16"/>
  <c r="L9" i="16" s="1"/>
  <c r="I10" i="16"/>
  <c r="L10" i="16" s="1"/>
  <c r="I5" i="16"/>
  <c r="L5" i="16" s="1"/>
  <c r="I8" i="16"/>
  <c r="L8" i="16" s="1"/>
  <c r="I7" i="16" l="1"/>
  <c r="L7" i="16" s="1"/>
  <c r="L4" i="16"/>
  <c r="G23" i="16" l="1"/>
  <c r="G24" i="16" s="1"/>
  <c r="C26" i="19"/>
  <c r="F5" i="19"/>
  <c r="I23" i="16" l="1"/>
  <c r="I24" i="16" s="1"/>
  <c r="L23" i="16"/>
  <c r="E21" i="18"/>
  <c r="E16" i="18"/>
  <c r="E14" i="18"/>
  <c r="E12" i="18"/>
  <c r="E11" i="18"/>
  <c r="E10" i="18"/>
  <c r="E9" i="18"/>
  <c r="E7" i="18"/>
  <c r="E6" i="18"/>
  <c r="E5" i="18"/>
  <c r="E4" i="18"/>
  <c r="L24" i="16" l="1"/>
  <c r="H23" i="16"/>
  <c r="D8" i="7"/>
  <c r="I8" i="11"/>
  <c r="P8" i="11" s="1"/>
  <c r="E37" i="13" s="1"/>
  <c r="C4" i="11"/>
  <c r="C22" i="18"/>
  <c r="F4" i="18"/>
  <c r="F7" i="18"/>
  <c r="F9" i="18"/>
  <c r="F10" i="18"/>
  <c r="F11" i="18"/>
  <c r="F12" i="18"/>
  <c r="F21" i="18"/>
  <c r="F14" i="18"/>
  <c r="F16" i="18"/>
  <c r="F5" i="18"/>
  <c r="F6" i="18"/>
  <c r="B43" i="7" l="1"/>
  <c r="D43" i="7" s="1"/>
  <c r="B31" i="7"/>
  <c r="D31" i="7" s="1"/>
  <c r="F22" i="18"/>
  <c r="E36" i="13"/>
  <c r="C6" i="19" s="1"/>
  <c r="F8" i="9"/>
  <c r="F25" i="18" l="1"/>
  <c r="B37" i="7" s="1"/>
  <c r="E11" i="19"/>
  <c r="G15" i="7"/>
  <c r="K15" i="7" s="1"/>
  <c r="F18" i="9" l="1"/>
  <c r="F17" i="9"/>
  <c r="F16" i="9"/>
  <c r="F15" i="9"/>
  <c r="F14" i="9"/>
  <c r="F13" i="9"/>
  <c r="F12" i="9"/>
  <c r="F11" i="9"/>
  <c r="F10" i="9"/>
  <c r="F9" i="9"/>
  <c r="G17" i="8"/>
  <c r="F17" i="8"/>
  <c r="E17" i="8"/>
  <c r="D17" i="8"/>
  <c r="C17" i="8"/>
  <c r="C8" i="15"/>
  <c r="K15" i="11"/>
  <c r="I15" i="11"/>
  <c r="P15" i="11" s="1"/>
  <c r="G15" i="11"/>
  <c r="K14" i="11"/>
  <c r="I14" i="11"/>
  <c r="P14" i="11" s="1"/>
  <c r="G14" i="11"/>
  <c r="K13" i="11"/>
  <c r="I13" i="11"/>
  <c r="P13" i="11" s="1"/>
  <c r="G13" i="11"/>
  <c r="K12" i="11"/>
  <c r="I12" i="11"/>
  <c r="P12" i="11" s="1"/>
  <c r="G12" i="11"/>
  <c r="K11" i="11"/>
  <c r="I11" i="11"/>
  <c r="P11" i="11" s="1"/>
  <c r="G11" i="11"/>
  <c r="K10" i="11"/>
  <c r="I10" i="11"/>
  <c r="P10" i="11" s="1"/>
  <c r="G10" i="11"/>
  <c r="K9" i="11"/>
  <c r="I9" i="11"/>
  <c r="G9" i="11"/>
  <c r="K8" i="11"/>
  <c r="F7" i="11"/>
  <c r="Q7" i="11" s="1"/>
  <c r="J6" i="11"/>
  <c r="M37" i="6"/>
  <c r="Y37" i="6" s="1"/>
  <c r="X37" i="6" s="1"/>
  <c r="K37" i="6"/>
  <c r="G37" i="6"/>
  <c r="T37" i="6" s="1"/>
  <c r="U37" i="6" s="1"/>
  <c r="M36" i="6"/>
  <c r="Y36" i="6" s="1"/>
  <c r="X36" i="6" s="1"/>
  <c r="K36" i="6"/>
  <c r="G36" i="6"/>
  <c r="T36" i="6" s="1"/>
  <c r="U36" i="6" s="1"/>
  <c r="M35" i="6"/>
  <c r="Y35" i="6" s="1"/>
  <c r="X35" i="6" s="1"/>
  <c r="K35" i="6"/>
  <c r="G35" i="6"/>
  <c r="T35" i="6" s="1"/>
  <c r="U35" i="6" s="1"/>
  <c r="M34" i="6"/>
  <c r="Y34" i="6" s="1"/>
  <c r="X34" i="6" s="1"/>
  <c r="K34" i="6"/>
  <c r="G34" i="6"/>
  <c r="T34" i="6" s="1"/>
  <c r="U34" i="6" s="1"/>
  <c r="M33" i="6"/>
  <c r="Y33" i="6" s="1"/>
  <c r="X33" i="6" s="1"/>
  <c r="K33" i="6"/>
  <c r="G33" i="6"/>
  <c r="T33" i="6" s="1"/>
  <c r="U33" i="6" s="1"/>
  <c r="M32" i="6"/>
  <c r="Y32" i="6" s="1"/>
  <c r="X32" i="6" s="1"/>
  <c r="K32" i="6"/>
  <c r="G32" i="6"/>
  <c r="T32" i="6" s="1"/>
  <c r="U32" i="6" s="1"/>
  <c r="M31" i="6"/>
  <c r="Y31" i="6" s="1"/>
  <c r="X31" i="6" s="1"/>
  <c r="K31" i="6"/>
  <c r="G31" i="6"/>
  <c r="T31" i="6" s="1"/>
  <c r="U31" i="6" s="1"/>
  <c r="M30" i="6"/>
  <c r="Y30" i="6" s="1"/>
  <c r="X30" i="6" s="1"/>
  <c r="K30" i="6"/>
  <c r="G30" i="6"/>
  <c r="T30" i="6" s="1"/>
  <c r="U30" i="6" s="1"/>
  <c r="M29" i="6"/>
  <c r="Y29" i="6" s="1"/>
  <c r="X29" i="6" s="1"/>
  <c r="K29" i="6"/>
  <c r="G29" i="6"/>
  <c r="T29" i="6" s="1"/>
  <c r="U29" i="6" s="1"/>
  <c r="M28" i="6"/>
  <c r="Y28" i="6" s="1"/>
  <c r="X28" i="6" s="1"/>
  <c r="K28" i="6"/>
  <c r="G28" i="6"/>
  <c r="T28" i="6" s="1"/>
  <c r="U28" i="6" s="1"/>
  <c r="M27" i="6"/>
  <c r="Y27" i="6" s="1"/>
  <c r="X27" i="6" s="1"/>
  <c r="K27" i="6"/>
  <c r="G27" i="6"/>
  <c r="T27" i="6" s="1"/>
  <c r="U27" i="6" s="1"/>
  <c r="M26" i="6"/>
  <c r="Y26" i="6" s="1"/>
  <c r="X26" i="6" s="1"/>
  <c r="K26" i="6"/>
  <c r="G26" i="6"/>
  <c r="T26" i="6" s="1"/>
  <c r="U26" i="6" s="1"/>
  <c r="M25" i="6"/>
  <c r="Y25" i="6" s="1"/>
  <c r="X25" i="6" s="1"/>
  <c r="K25" i="6"/>
  <c r="T25" i="6"/>
  <c r="U25" i="6" s="1"/>
  <c r="M24" i="6"/>
  <c r="Y24" i="6" s="1"/>
  <c r="X24" i="6" s="1"/>
  <c r="K24" i="6"/>
  <c r="G24" i="6"/>
  <c r="T24" i="6" s="1"/>
  <c r="U24" i="6" s="1"/>
  <c r="M23" i="6"/>
  <c r="Y23" i="6" s="1"/>
  <c r="X23" i="6" s="1"/>
  <c r="K23" i="6"/>
  <c r="G23" i="6"/>
  <c r="T23" i="6" s="1"/>
  <c r="U23" i="6" s="1"/>
  <c r="M22" i="6"/>
  <c r="Y22" i="6" s="1"/>
  <c r="X22" i="6" s="1"/>
  <c r="K22" i="6"/>
  <c r="G22" i="6"/>
  <c r="T22" i="6" s="1"/>
  <c r="U22" i="6" s="1"/>
  <c r="M21" i="6"/>
  <c r="Y21" i="6" s="1"/>
  <c r="X21" i="6" s="1"/>
  <c r="K21" i="6"/>
  <c r="G21" i="6"/>
  <c r="T21" i="6" s="1"/>
  <c r="U21" i="6" s="1"/>
  <c r="M20" i="6"/>
  <c r="Y20" i="6" s="1"/>
  <c r="X20" i="6" s="1"/>
  <c r="K20" i="6"/>
  <c r="G20" i="6"/>
  <c r="T20" i="6" s="1"/>
  <c r="U20" i="6" s="1"/>
  <c r="M19" i="6"/>
  <c r="Y19" i="6" s="1"/>
  <c r="X19" i="6" s="1"/>
  <c r="K19" i="6"/>
  <c r="G19" i="6"/>
  <c r="T19" i="6" s="1"/>
  <c r="M18" i="6"/>
  <c r="Y18" i="6" s="1"/>
  <c r="X18" i="6" s="1"/>
  <c r="K18" i="6"/>
  <c r="G18" i="6"/>
  <c r="T18" i="6" s="1"/>
  <c r="U18" i="6" s="1"/>
  <c r="M17" i="6"/>
  <c r="Y17" i="6" s="1"/>
  <c r="X17" i="6" s="1"/>
  <c r="K17" i="6"/>
  <c r="G17" i="6"/>
  <c r="T17" i="6" s="1"/>
  <c r="U17" i="6" s="1"/>
  <c r="M16" i="6"/>
  <c r="Y16" i="6" s="1"/>
  <c r="X16" i="6" s="1"/>
  <c r="K16" i="6"/>
  <c r="G16" i="6"/>
  <c r="T16" i="6" s="1"/>
  <c r="U16" i="6" s="1"/>
  <c r="M15" i="6"/>
  <c r="Y15" i="6" s="1"/>
  <c r="X15" i="6" s="1"/>
  <c r="K15" i="6"/>
  <c r="G15" i="6"/>
  <c r="T15" i="6" s="1"/>
  <c r="U15" i="6" s="1"/>
  <c r="M14" i="6"/>
  <c r="Y14" i="6" s="1"/>
  <c r="X14" i="6" s="1"/>
  <c r="K14" i="6"/>
  <c r="G14" i="6"/>
  <c r="T14" i="6" s="1"/>
  <c r="U14" i="6" s="1"/>
  <c r="M13" i="6"/>
  <c r="Y13" i="6" s="1"/>
  <c r="X13" i="6" s="1"/>
  <c r="K13" i="6"/>
  <c r="G13" i="6"/>
  <c r="T13" i="6" s="1"/>
  <c r="U13" i="6" s="1"/>
  <c r="M12" i="6"/>
  <c r="Y12" i="6" s="1"/>
  <c r="X12" i="6" s="1"/>
  <c r="K12" i="6"/>
  <c r="T12" i="6"/>
  <c r="U12" i="6" s="1"/>
  <c r="M11" i="6"/>
  <c r="Y11" i="6" s="1"/>
  <c r="X11" i="6" s="1"/>
  <c r="K11" i="6"/>
  <c r="G11" i="6"/>
  <c r="T11" i="6" s="1"/>
  <c r="U11" i="6" s="1"/>
  <c r="M10" i="6"/>
  <c r="Y10" i="6" s="1"/>
  <c r="X10" i="6" s="1"/>
  <c r="K10" i="6"/>
  <c r="G10" i="6"/>
  <c r="T10" i="6" s="1"/>
  <c r="U10" i="6" s="1"/>
  <c r="M9" i="6"/>
  <c r="Y9" i="6" s="1"/>
  <c r="K9" i="6"/>
  <c r="G9" i="6"/>
  <c r="T9" i="6" s="1"/>
  <c r="U9" i="6" s="1"/>
  <c r="M8" i="6"/>
  <c r="K8" i="6"/>
  <c r="G8" i="6"/>
  <c r="T8" i="6" s="1"/>
  <c r="U8" i="6" s="1"/>
  <c r="J7" i="6"/>
  <c r="AA7" i="6" s="1"/>
  <c r="N6" i="6"/>
  <c r="N8" i="6" s="1"/>
  <c r="F4" i="6"/>
  <c r="C4" i="6"/>
  <c r="C33" i="7"/>
  <c r="D30" i="7"/>
  <c r="G19" i="7"/>
  <c r="K19" i="7" s="1"/>
  <c r="O15" i="7"/>
  <c r="D15" i="7"/>
  <c r="P7" i="7"/>
  <c r="O33" i="7" s="1"/>
  <c r="L7" i="7"/>
  <c r="K33" i="7" s="1"/>
  <c r="H7" i="7"/>
  <c r="D6" i="7"/>
  <c r="L6" i="7" s="1"/>
  <c r="P6" i="7" s="1"/>
  <c r="L5" i="7"/>
  <c r="P5" i="7" s="1"/>
  <c r="A5" i="7"/>
  <c r="A2" i="7"/>
  <c r="B64" i="13"/>
  <c r="B63" i="13"/>
  <c r="E62" i="13"/>
  <c r="B62" i="13"/>
  <c r="C57" i="13"/>
  <c r="E57" i="13" s="1"/>
  <c r="C56" i="13"/>
  <c r="E56" i="13" s="1"/>
  <c r="C55" i="13"/>
  <c r="E55" i="13" s="1"/>
  <c r="C54" i="13"/>
  <c r="C53" i="13"/>
  <c r="C52" i="13"/>
  <c r="C51" i="13"/>
  <c r="C50" i="13"/>
  <c r="C47" i="13"/>
  <c r="C46" i="13"/>
  <c r="C45" i="13"/>
  <c r="C44" i="13"/>
  <c r="C51" i="7"/>
  <c r="C5" i="19"/>
  <c r="B17" i="13"/>
  <c r="B16" i="13"/>
  <c r="B14" i="13"/>
  <c r="E13" i="13"/>
  <c r="D24" i="13" s="1"/>
  <c r="E25" i="13" s="1"/>
  <c r="E8" i="13"/>
  <c r="M2" i="11" s="1"/>
  <c r="B8" i="13"/>
  <c r="B6" i="13"/>
  <c r="Z11" i="6" l="1"/>
  <c r="Z14" i="6"/>
  <c r="Z28" i="6"/>
  <c r="Z30" i="6"/>
  <c r="Z32" i="6"/>
  <c r="Z34" i="6"/>
  <c r="Z36" i="6"/>
  <c r="AB36" i="6" s="1"/>
  <c r="Z18" i="6"/>
  <c r="AA18" i="6" s="1"/>
  <c r="Z23" i="6"/>
  <c r="Z22" i="6"/>
  <c r="Z15" i="6"/>
  <c r="Z27" i="6"/>
  <c r="Z29" i="6"/>
  <c r="Z31" i="6"/>
  <c r="Z33" i="6"/>
  <c r="AB33" i="6" s="1"/>
  <c r="Z35" i="6"/>
  <c r="AA35" i="6" s="1"/>
  <c r="Z37" i="6"/>
  <c r="Z25" i="6"/>
  <c r="Z24" i="6"/>
  <c r="AA24" i="6" s="1"/>
  <c r="Z26" i="6"/>
  <c r="AB26" i="6" s="1"/>
  <c r="Z12" i="6"/>
  <c r="Z20" i="6"/>
  <c r="Z21" i="6"/>
  <c r="AA21" i="6" s="1"/>
  <c r="Z19" i="6"/>
  <c r="AA19" i="6" s="1"/>
  <c r="Z17" i="6"/>
  <c r="AB17" i="6" s="1"/>
  <c r="Z16" i="6"/>
  <c r="Z13" i="6"/>
  <c r="AB13" i="6" s="1"/>
  <c r="F8" i="11"/>
  <c r="D25" i="13"/>
  <c r="D7" i="13"/>
  <c r="E14" i="13"/>
  <c r="D11" i="13"/>
  <c r="E16" i="13" s="1"/>
  <c r="D12" i="13"/>
  <c r="E41" i="13"/>
  <c r="D47" i="13" s="1"/>
  <c r="E47" i="13" s="1"/>
  <c r="C50" i="7"/>
  <c r="F26" i="18"/>
  <c r="F27" i="18" s="1"/>
  <c r="C28" i="15" s="1"/>
  <c r="D4" i="19"/>
  <c r="AA2" i="6"/>
  <c r="D5" i="7"/>
  <c r="H8" i="7" s="1"/>
  <c r="J2" i="6"/>
  <c r="F21" i="9"/>
  <c r="D6" i="13"/>
  <c r="E10" i="19"/>
  <c r="X9" i="6"/>
  <c r="Z9" i="6"/>
  <c r="AB9" i="6" s="1"/>
  <c r="Y8" i="6"/>
  <c r="Y4" i="6" s="1"/>
  <c r="M4" i="6"/>
  <c r="E4" i="6" s="1"/>
  <c r="N37" i="6"/>
  <c r="O37" i="6" s="1"/>
  <c r="P37" i="6" s="1"/>
  <c r="O8" i="6"/>
  <c r="P8" i="6" s="1"/>
  <c r="Q8" i="6" s="1"/>
  <c r="J11" i="11"/>
  <c r="L11" i="11" s="1"/>
  <c r="J8" i="11"/>
  <c r="I4" i="11"/>
  <c r="P9" i="11"/>
  <c r="P4" i="11" s="1"/>
  <c r="E13" i="19" s="1"/>
  <c r="AB12" i="6"/>
  <c r="AA12" i="6"/>
  <c r="AB14" i="6"/>
  <c r="AA14" i="6"/>
  <c r="AB16" i="6"/>
  <c r="AA16" i="6"/>
  <c r="AB20" i="6"/>
  <c r="AA20" i="6"/>
  <c r="AA23" i="6"/>
  <c r="AB23" i="6"/>
  <c r="AB24" i="6"/>
  <c r="AA25" i="6"/>
  <c r="AB25" i="6"/>
  <c r="AA27" i="6"/>
  <c r="AB27" i="6"/>
  <c r="AB28" i="6"/>
  <c r="AA28" i="6"/>
  <c r="AA29" i="6"/>
  <c r="AB29" i="6"/>
  <c r="AB30" i="6"/>
  <c r="AA30" i="6"/>
  <c r="AA31" i="6"/>
  <c r="AB31" i="6"/>
  <c r="AB32" i="6"/>
  <c r="AA32" i="6"/>
  <c r="AB34" i="6"/>
  <c r="AA34" i="6"/>
  <c r="AA37" i="6"/>
  <c r="AB37" i="6"/>
  <c r="AA11" i="6"/>
  <c r="AB11" i="6"/>
  <c r="AA15" i="6"/>
  <c r="AB15" i="6"/>
  <c r="AA17" i="6"/>
  <c r="AB22" i="6"/>
  <c r="AA22" i="6"/>
  <c r="K4" i="11"/>
  <c r="O19" i="7"/>
  <c r="H6" i="7"/>
  <c r="J15" i="11"/>
  <c r="L15" i="11" s="1"/>
  <c r="M15" i="11" s="1"/>
  <c r="Q10" i="11"/>
  <c r="R10" i="11"/>
  <c r="Q11" i="11"/>
  <c r="R11" i="11"/>
  <c r="R12" i="11"/>
  <c r="Q12" i="11"/>
  <c r="Q13" i="11"/>
  <c r="R13" i="11"/>
  <c r="R14" i="11"/>
  <c r="Q14" i="11"/>
  <c r="Q15" i="11"/>
  <c r="R15" i="11"/>
  <c r="J12" i="11"/>
  <c r="L12" i="11" s="1"/>
  <c r="J9" i="11"/>
  <c r="L9" i="11" s="1"/>
  <c r="J13" i="11"/>
  <c r="L13" i="11" s="1"/>
  <c r="J10" i="11"/>
  <c r="L10" i="11" s="1"/>
  <c r="J14" i="11"/>
  <c r="L14" i="11" s="1"/>
  <c r="M7" i="11"/>
  <c r="V8" i="6"/>
  <c r="W8" i="6"/>
  <c r="V9" i="6"/>
  <c r="W9" i="6"/>
  <c r="V10" i="6"/>
  <c r="W10" i="6"/>
  <c r="V11" i="6"/>
  <c r="W11" i="6"/>
  <c r="W12" i="6"/>
  <c r="V12" i="6"/>
  <c r="V13" i="6"/>
  <c r="W13" i="6"/>
  <c r="W14" i="6"/>
  <c r="V14" i="6"/>
  <c r="V15" i="6"/>
  <c r="W15" i="6"/>
  <c r="V16" i="6"/>
  <c r="W16" i="6"/>
  <c r="V17" i="6"/>
  <c r="W17" i="6"/>
  <c r="W18" i="6"/>
  <c r="V18" i="6"/>
  <c r="W20" i="6"/>
  <c r="V20" i="6"/>
  <c r="V21" i="6"/>
  <c r="W21" i="6"/>
  <c r="V22" i="6"/>
  <c r="W22" i="6"/>
  <c r="V23" i="6"/>
  <c r="W23" i="6"/>
  <c r="W24" i="6"/>
  <c r="V24" i="6"/>
  <c r="V25" i="6"/>
  <c r="W25" i="6"/>
  <c r="W26" i="6"/>
  <c r="V26" i="6"/>
  <c r="V27" i="6"/>
  <c r="W27" i="6"/>
  <c r="V28" i="6"/>
  <c r="W28" i="6"/>
  <c r="V29" i="6"/>
  <c r="W29" i="6"/>
  <c r="W30" i="6"/>
  <c r="V30" i="6"/>
  <c r="V31" i="6"/>
  <c r="W31" i="6"/>
  <c r="V32" i="6"/>
  <c r="W32" i="6"/>
  <c r="V33" i="6"/>
  <c r="W33" i="6"/>
  <c r="W34" i="6"/>
  <c r="V34" i="6"/>
  <c r="V35" i="6"/>
  <c r="W35" i="6"/>
  <c r="W36" i="6"/>
  <c r="V36" i="6"/>
  <c r="V37" i="6"/>
  <c r="W37" i="6"/>
  <c r="N30" i="6"/>
  <c r="O30" i="6" s="1"/>
  <c r="P30" i="6" s="1"/>
  <c r="N11" i="6"/>
  <c r="O11" i="6" s="1"/>
  <c r="P11" i="6" s="1"/>
  <c r="N19" i="6"/>
  <c r="O19" i="6" s="1"/>
  <c r="P19" i="6" s="1"/>
  <c r="N32" i="6"/>
  <c r="O32" i="6" s="1"/>
  <c r="P32" i="6" s="1"/>
  <c r="G4" i="6"/>
  <c r="N22" i="6"/>
  <c r="O22" i="6" s="1"/>
  <c r="P22" i="6" s="1"/>
  <c r="Z10" i="6"/>
  <c r="N14" i="6"/>
  <c r="O14" i="6" s="1"/>
  <c r="P14" i="6" s="1"/>
  <c r="N15" i="6"/>
  <c r="O15" i="6" s="1"/>
  <c r="P15" i="6" s="1"/>
  <c r="N20" i="6"/>
  <c r="O20" i="6" s="1"/>
  <c r="P20" i="6" s="1"/>
  <c r="N26" i="6"/>
  <c r="O26" i="6" s="1"/>
  <c r="P26" i="6" s="1"/>
  <c r="N28" i="6"/>
  <c r="O28" i="6" s="1"/>
  <c r="P28" i="6" s="1"/>
  <c r="N35" i="6"/>
  <c r="O35" i="6" s="1"/>
  <c r="P35" i="6" s="1"/>
  <c r="N10" i="6"/>
  <c r="O10" i="6" s="1"/>
  <c r="P10" i="6" s="1"/>
  <c r="Q10" i="6" s="1"/>
  <c r="N12" i="6"/>
  <c r="O12" i="6" s="1"/>
  <c r="P12" i="6" s="1"/>
  <c r="N18" i="6"/>
  <c r="O18" i="6" s="1"/>
  <c r="P18" i="6" s="1"/>
  <c r="Q18" i="6" s="1"/>
  <c r="N23" i="6"/>
  <c r="O23" i="6" s="1"/>
  <c r="P23" i="6" s="1"/>
  <c r="N24" i="6"/>
  <c r="O24" i="6" s="1"/>
  <c r="P24" i="6" s="1"/>
  <c r="N31" i="6"/>
  <c r="O31" i="6" s="1"/>
  <c r="P31" i="6" s="1"/>
  <c r="N16" i="6"/>
  <c r="O16" i="6" s="1"/>
  <c r="P16" i="6" s="1"/>
  <c r="N27" i="6"/>
  <c r="O27" i="6" s="1"/>
  <c r="P27" i="6" s="1"/>
  <c r="N34" i="6"/>
  <c r="O34" i="6" s="1"/>
  <c r="P34" i="6" s="1"/>
  <c r="N36" i="6"/>
  <c r="O36" i="6" s="1"/>
  <c r="P36" i="6" s="1"/>
  <c r="N9" i="6"/>
  <c r="O9" i="6" s="1"/>
  <c r="P9" i="6" s="1"/>
  <c r="Q9" i="6" s="1"/>
  <c r="N13" i="6"/>
  <c r="O13" i="6" s="1"/>
  <c r="P13" i="6" s="1"/>
  <c r="N17" i="6"/>
  <c r="O17" i="6" s="1"/>
  <c r="P17" i="6" s="1"/>
  <c r="N21" i="6"/>
  <c r="O21" i="6" s="1"/>
  <c r="P21" i="6" s="1"/>
  <c r="N25" i="6"/>
  <c r="O25" i="6" s="1"/>
  <c r="P25" i="6" s="1"/>
  <c r="N29" i="6"/>
  <c r="O29" i="6" s="1"/>
  <c r="P29" i="6" s="1"/>
  <c r="N33" i="6"/>
  <c r="O33" i="6" s="1"/>
  <c r="P33" i="6" s="1"/>
  <c r="F19" i="9"/>
  <c r="U19" i="6"/>
  <c r="T4" i="6"/>
  <c r="Q7" i="6"/>
  <c r="V7" i="6"/>
  <c r="AA9" i="6" l="1"/>
  <c r="AA33" i="6"/>
  <c r="AB18" i="6"/>
  <c r="AA36" i="6"/>
  <c r="AB21" i="6"/>
  <c r="AB35" i="6"/>
  <c r="L8" i="7"/>
  <c r="P8" i="7"/>
  <c r="H43" i="7"/>
  <c r="F43" i="7"/>
  <c r="J43" i="7" s="1"/>
  <c r="F31" i="7"/>
  <c r="H31" i="7"/>
  <c r="B28" i="7"/>
  <c r="B26" i="7"/>
  <c r="B27" i="7"/>
  <c r="B25" i="7"/>
  <c r="D25" i="7" s="1"/>
  <c r="H25" i="7" s="1"/>
  <c r="B19" i="7"/>
  <c r="B20" i="7" s="1"/>
  <c r="B22" i="7"/>
  <c r="D22" i="7" s="1"/>
  <c r="H22" i="7" s="1"/>
  <c r="B24" i="7"/>
  <c r="D24" i="7" s="1"/>
  <c r="H24" i="7" s="1"/>
  <c r="B21" i="7"/>
  <c r="F21" i="7" s="1"/>
  <c r="AA26" i="6"/>
  <c r="AA13" i="6"/>
  <c r="AB19" i="6"/>
  <c r="F41" i="7"/>
  <c r="J41" i="7" s="1"/>
  <c r="N41" i="7" s="1"/>
  <c r="N15" i="11"/>
  <c r="K2" i="6"/>
  <c r="AB2" i="6"/>
  <c r="Z2" i="6" s="1"/>
  <c r="N2" i="11"/>
  <c r="E4" i="19"/>
  <c r="D23" i="19" s="1"/>
  <c r="D53" i="13"/>
  <c r="E53" i="13" s="1"/>
  <c r="D16" i="13"/>
  <c r="E17" i="13"/>
  <c r="B51" i="7" s="1"/>
  <c r="D51" i="7" s="1"/>
  <c r="H51" i="7" s="1"/>
  <c r="D17" i="13"/>
  <c r="D51" i="13"/>
  <c r="D52" i="13" s="1"/>
  <c r="E52" i="13" s="1"/>
  <c r="F22" i="9"/>
  <c r="D54" i="13"/>
  <c r="E54" i="13" s="1"/>
  <c r="D50" i="13"/>
  <c r="E50" i="13" s="1"/>
  <c r="D45" i="13"/>
  <c r="E45" i="13" s="1"/>
  <c r="D46" i="13"/>
  <c r="E46" i="13" s="1"/>
  <c r="D44" i="13"/>
  <c r="E44" i="13" s="1"/>
  <c r="F49" i="7"/>
  <c r="J49" i="7" s="1"/>
  <c r="N49" i="7" s="1"/>
  <c r="B52" i="7"/>
  <c r="F52" i="7" s="1"/>
  <c r="J52" i="7" s="1"/>
  <c r="F30" i="7"/>
  <c r="J30" i="7" s="1"/>
  <c r="F45" i="7"/>
  <c r="J45" i="7" s="1"/>
  <c r="C13" i="15"/>
  <c r="F39" i="7"/>
  <c r="J39" i="7" s="1"/>
  <c r="N39" i="7" s="1"/>
  <c r="H23" i="7"/>
  <c r="H44" i="7"/>
  <c r="F23" i="7"/>
  <c r="J23" i="7" s="1"/>
  <c r="F4" i="19"/>
  <c r="E23" i="19" s="1"/>
  <c r="E51" i="13"/>
  <c r="D5" i="19"/>
  <c r="B50" i="7"/>
  <c r="F40" i="7"/>
  <c r="J40" i="7" s="1"/>
  <c r="N40" i="7" s="1"/>
  <c r="B29" i="7"/>
  <c r="D29" i="7" s="1"/>
  <c r="H29" i="7" s="1"/>
  <c r="H30" i="7"/>
  <c r="B42" i="7"/>
  <c r="F44" i="7"/>
  <c r="J44" i="7" s="1"/>
  <c r="N44" i="7" s="1"/>
  <c r="B32" i="7"/>
  <c r="F32" i="7" s="1"/>
  <c r="B14" i="7"/>
  <c r="F14" i="7" s="1"/>
  <c r="J14" i="7" s="1"/>
  <c r="F15" i="7"/>
  <c r="H15" i="7" s="1"/>
  <c r="X8" i="6"/>
  <c r="X7" i="6" s="1"/>
  <c r="Z8" i="6"/>
  <c r="Z4" i="6" s="1"/>
  <c r="R9" i="11"/>
  <c r="Q9" i="11"/>
  <c r="AB10" i="6"/>
  <c r="AA10" i="6"/>
  <c r="J4" i="11"/>
  <c r="L8" i="11"/>
  <c r="D37" i="7"/>
  <c r="H37" i="7" s="1"/>
  <c r="F37" i="7"/>
  <c r="F38" i="7"/>
  <c r="J38" i="7" s="1"/>
  <c r="D38" i="7"/>
  <c r="H38" i="7" s="1"/>
  <c r="N12" i="11"/>
  <c r="M12" i="11"/>
  <c r="M11" i="11"/>
  <c r="N11" i="11"/>
  <c r="N13" i="11"/>
  <c r="M13" i="11"/>
  <c r="N14" i="11"/>
  <c r="M14" i="11"/>
  <c r="N9" i="11"/>
  <c r="M9" i="11"/>
  <c r="N10" i="11"/>
  <c r="M10" i="11"/>
  <c r="V19" i="6"/>
  <c r="W19" i="6"/>
  <c r="R13" i="6"/>
  <c r="Q13" i="6"/>
  <c r="Q31" i="6"/>
  <c r="R31" i="6"/>
  <c r="R20" i="6"/>
  <c r="Q20" i="6"/>
  <c r="R32" i="6"/>
  <c r="Q32" i="6"/>
  <c r="R18" i="6"/>
  <c r="R25" i="6"/>
  <c r="Q25" i="6"/>
  <c r="R16" i="6"/>
  <c r="Q16" i="6"/>
  <c r="R24" i="6"/>
  <c r="Q24" i="6"/>
  <c r="R12" i="6"/>
  <c r="Q12" i="6"/>
  <c r="R28" i="6"/>
  <c r="Q28" i="6"/>
  <c r="R15" i="6"/>
  <c r="Q15" i="6"/>
  <c r="R10" i="6"/>
  <c r="R29" i="6"/>
  <c r="Q29" i="6"/>
  <c r="Q27" i="6"/>
  <c r="R27" i="6"/>
  <c r="Q35" i="6"/>
  <c r="R35" i="6"/>
  <c r="Q30" i="6"/>
  <c r="R30" i="6"/>
  <c r="R21" i="6"/>
  <c r="Q21" i="6"/>
  <c r="R36" i="6"/>
  <c r="Q36" i="6"/>
  <c r="Q23" i="6"/>
  <c r="R23" i="6"/>
  <c r="Q26" i="6"/>
  <c r="R26" i="6"/>
  <c r="Q14" i="6"/>
  <c r="R14" i="6"/>
  <c r="Q22" i="6"/>
  <c r="R22" i="6"/>
  <c r="R8" i="6"/>
  <c r="Q19" i="6"/>
  <c r="R19" i="6"/>
  <c r="R33" i="6"/>
  <c r="Q33" i="6"/>
  <c r="R17" i="6"/>
  <c r="Q17" i="6"/>
  <c r="R34" i="6"/>
  <c r="Q34" i="6"/>
  <c r="R37" i="6"/>
  <c r="Q37" i="6"/>
  <c r="R11" i="6"/>
  <c r="Q11" i="6"/>
  <c r="R9" i="6"/>
  <c r="N4" i="6"/>
  <c r="O4" i="6"/>
  <c r="C45" i="7"/>
  <c r="D45" i="7" s="1"/>
  <c r="H45" i="7" s="1"/>
  <c r="U4" i="6"/>
  <c r="P4" i="6"/>
  <c r="E58" i="13" l="1"/>
  <c r="D19" i="7"/>
  <c r="H19" i="7" s="1"/>
  <c r="G31" i="7"/>
  <c r="O31" i="7" s="1"/>
  <c r="N43" i="7"/>
  <c r="G43" i="7"/>
  <c r="K43" i="7" s="1"/>
  <c r="O43" i="7" s="1"/>
  <c r="K31" i="7"/>
  <c r="N31" i="7"/>
  <c r="J31" i="7"/>
  <c r="D27" i="7"/>
  <c r="H27" i="7" s="1"/>
  <c r="F27" i="7"/>
  <c r="F26" i="7"/>
  <c r="D26" i="7"/>
  <c r="H26" i="7" s="1"/>
  <c r="F28" i="7"/>
  <c r="D28" i="7"/>
  <c r="H28" i="7" s="1"/>
  <c r="F24" i="7"/>
  <c r="J24" i="7" s="1"/>
  <c r="F20" i="7"/>
  <c r="D20" i="7"/>
  <c r="H20" i="7" s="1"/>
  <c r="N23" i="7"/>
  <c r="I4" i="6"/>
  <c r="I5" i="6" s="1"/>
  <c r="D6" i="19"/>
  <c r="J15" i="7"/>
  <c r="L15" i="7" s="1"/>
  <c r="F51" i="7"/>
  <c r="J51" i="7" s="1"/>
  <c r="N51" i="7" s="1"/>
  <c r="D21" i="7"/>
  <c r="H21" i="7" s="1"/>
  <c r="G21" i="7" s="1"/>
  <c r="F29" i="7"/>
  <c r="G29" i="7" s="1"/>
  <c r="F19" i="7"/>
  <c r="N19" i="7" s="1"/>
  <c r="P19" i="7" s="1"/>
  <c r="F22" i="7"/>
  <c r="J22" i="7" s="1"/>
  <c r="G30" i="7"/>
  <c r="O30" i="7" s="1"/>
  <c r="N30" i="7"/>
  <c r="G45" i="7"/>
  <c r="O45" i="7" s="1"/>
  <c r="D52" i="7"/>
  <c r="H52" i="7" s="1"/>
  <c r="G52" i="7" s="1"/>
  <c r="K52" i="7" s="1"/>
  <c r="O52" i="7" s="1"/>
  <c r="N45" i="7"/>
  <c r="E60" i="13"/>
  <c r="E61" i="13" s="1"/>
  <c r="E63" i="13" s="1"/>
  <c r="E64" i="13" s="1"/>
  <c r="G23" i="7"/>
  <c r="K23" i="7" s="1"/>
  <c r="L23" i="7" s="1"/>
  <c r="D32" i="7"/>
  <c r="H32" i="7" s="1"/>
  <c r="G32" i="7" s="1"/>
  <c r="O32" i="7" s="1"/>
  <c r="E22" i="19"/>
  <c r="E19" i="19"/>
  <c r="E20" i="19"/>
  <c r="E5" i="19"/>
  <c r="D10" i="19" s="1"/>
  <c r="D19" i="19" s="1"/>
  <c r="C10" i="19"/>
  <c r="C19" i="19" s="1"/>
  <c r="F42" i="7"/>
  <c r="J42" i="7" s="1"/>
  <c r="D42" i="7"/>
  <c r="H42" i="7" s="1"/>
  <c r="M8" i="11"/>
  <c r="M4" i="11" s="1"/>
  <c r="G44" i="7"/>
  <c r="K44" i="7" s="1"/>
  <c r="O44" i="7" s="1"/>
  <c r="P44" i="7" s="1"/>
  <c r="F25" i="7"/>
  <c r="N25" i="7" s="1"/>
  <c r="D50" i="7"/>
  <c r="H50" i="7" s="1"/>
  <c r="F50" i="7"/>
  <c r="J50" i="7" s="1"/>
  <c r="N50" i="7" s="1"/>
  <c r="AA8" i="6"/>
  <c r="AA4" i="6" s="1"/>
  <c r="AA3" i="6" s="1"/>
  <c r="AB8" i="6"/>
  <c r="AB4" i="6" s="1"/>
  <c r="E12" i="19"/>
  <c r="Z3" i="6"/>
  <c r="L4" i="11"/>
  <c r="L5" i="11" s="1"/>
  <c r="J37" i="7"/>
  <c r="F46" i="7"/>
  <c r="N21" i="7"/>
  <c r="J21" i="7"/>
  <c r="N14" i="7"/>
  <c r="G38" i="7"/>
  <c r="K38" i="7" s="1"/>
  <c r="O38" i="7" s="1"/>
  <c r="G37" i="7"/>
  <c r="K37" i="7" s="1"/>
  <c r="O37" i="7" s="1"/>
  <c r="N52" i="7"/>
  <c r="N38" i="7"/>
  <c r="N32" i="7"/>
  <c r="J32" i="7"/>
  <c r="D39" i="7"/>
  <c r="H39" i="7" s="1"/>
  <c r="G39" i="7" s="1"/>
  <c r="K39" i="7" s="1"/>
  <c r="W4" i="6"/>
  <c r="V4" i="6"/>
  <c r="G20" i="7" l="1"/>
  <c r="P31" i="7"/>
  <c r="L43" i="7"/>
  <c r="P43" i="7"/>
  <c r="L31" i="7"/>
  <c r="G28" i="7"/>
  <c r="K28" i="7" s="1"/>
  <c r="G27" i="7"/>
  <c r="K27" i="7" s="1"/>
  <c r="N26" i="7"/>
  <c r="J26" i="7"/>
  <c r="N27" i="7"/>
  <c r="J27" i="7"/>
  <c r="N28" i="7"/>
  <c r="J28" i="7"/>
  <c r="G26" i="7"/>
  <c r="N20" i="7"/>
  <c r="J20" i="7"/>
  <c r="O20" i="7"/>
  <c r="K20" i="7"/>
  <c r="N24" i="7"/>
  <c r="G24" i="7"/>
  <c r="G51" i="7"/>
  <c r="K51" i="7" s="1"/>
  <c r="O51" i="7" s="1"/>
  <c r="P51" i="7" s="1"/>
  <c r="N15" i="7"/>
  <c r="P15" i="7" s="1"/>
  <c r="E6" i="19"/>
  <c r="D11" i="19" s="1"/>
  <c r="D20" i="19" s="1"/>
  <c r="C11" i="19"/>
  <c r="C20" i="19" s="1"/>
  <c r="K45" i="7"/>
  <c r="L45" i="7" s="1"/>
  <c r="G22" i="7"/>
  <c r="K22" i="7" s="1"/>
  <c r="L22" i="7" s="1"/>
  <c r="N22" i="7"/>
  <c r="N29" i="7"/>
  <c r="J19" i="7"/>
  <c r="L19" i="7" s="1"/>
  <c r="J29" i="7"/>
  <c r="P30" i="7"/>
  <c r="O23" i="7"/>
  <c r="P23" i="7" s="1"/>
  <c r="G42" i="7"/>
  <c r="K42" i="7" s="1"/>
  <c r="O42" i="7" s="1"/>
  <c r="K30" i="7"/>
  <c r="L30" i="7" s="1"/>
  <c r="P45" i="7"/>
  <c r="D14" i="7"/>
  <c r="C14" i="7" s="1"/>
  <c r="G14" i="7" s="1"/>
  <c r="G50" i="7"/>
  <c r="K50" i="7" s="1"/>
  <c r="O50" i="7" s="1"/>
  <c r="P50" i="7" s="1"/>
  <c r="J25" i="7"/>
  <c r="G25" i="7"/>
  <c r="K25" i="7" s="1"/>
  <c r="K32" i="7"/>
  <c r="L32" i="7" s="1"/>
  <c r="L52" i="7"/>
  <c r="Q8" i="11"/>
  <c r="Q4" i="11" s="1"/>
  <c r="C13" i="19" s="1"/>
  <c r="C22" i="19" s="1"/>
  <c r="G8" i="11"/>
  <c r="N42" i="7"/>
  <c r="L44" i="7"/>
  <c r="P32" i="7"/>
  <c r="C12" i="19"/>
  <c r="C21" i="19" s="1"/>
  <c r="C30" i="15" s="1"/>
  <c r="D12" i="19"/>
  <c r="AB3" i="6"/>
  <c r="E21" i="19"/>
  <c r="E24" i="19" s="1"/>
  <c r="E15" i="19"/>
  <c r="E27" i="19" s="1"/>
  <c r="P38" i="7"/>
  <c r="L38" i="7"/>
  <c r="P52" i="7"/>
  <c r="C49" i="7"/>
  <c r="D49" i="7" s="1"/>
  <c r="D53" i="7" s="1"/>
  <c r="M3" i="11"/>
  <c r="O29" i="7"/>
  <c r="K29" i="7"/>
  <c r="J46" i="7"/>
  <c r="L37" i="7"/>
  <c r="N37" i="7"/>
  <c r="K21" i="7"/>
  <c r="L21" i="7" s="1"/>
  <c r="O21" i="7"/>
  <c r="P21" i="7" s="1"/>
  <c r="M5" i="11"/>
  <c r="R4" i="6"/>
  <c r="K4" i="6" s="1"/>
  <c r="Q4" i="6"/>
  <c r="C17" i="15"/>
  <c r="L39" i="7"/>
  <c r="O39" i="7"/>
  <c r="P39" i="7" s="1"/>
  <c r="C41" i="7"/>
  <c r="D41" i="7" s="1"/>
  <c r="O28" i="7" l="1"/>
  <c r="O27" i="7"/>
  <c r="P20" i="7"/>
  <c r="B33" i="7"/>
  <c r="C14" i="19" s="1"/>
  <c r="L51" i="7"/>
  <c r="P28" i="7"/>
  <c r="O26" i="7"/>
  <c r="P26" i="7" s="1"/>
  <c r="K26" i="7"/>
  <c r="L26" i="7" s="1"/>
  <c r="L27" i="7"/>
  <c r="P27" i="7"/>
  <c r="L28" i="7"/>
  <c r="O24" i="7"/>
  <c r="P24" i="7" s="1"/>
  <c r="K24" i="7"/>
  <c r="L24" i="7" s="1"/>
  <c r="L20" i="7"/>
  <c r="O25" i="7"/>
  <c r="P25" i="7" s="1"/>
  <c r="P42" i="7"/>
  <c r="O22" i="7"/>
  <c r="P22" i="7" s="1"/>
  <c r="L29" i="7"/>
  <c r="P29" i="7"/>
  <c r="L42" i="7"/>
  <c r="D16" i="7"/>
  <c r="D56" i="7" s="1"/>
  <c r="L25" i="7"/>
  <c r="L50" i="7"/>
  <c r="R8" i="11"/>
  <c r="R4" i="11" s="1"/>
  <c r="D13" i="19" s="1"/>
  <c r="D22" i="19" s="1"/>
  <c r="N8" i="11"/>
  <c r="N4" i="11" s="1"/>
  <c r="O14" i="7"/>
  <c r="P14" i="7" s="1"/>
  <c r="P16" i="7" s="1"/>
  <c r="P56" i="7" s="1"/>
  <c r="H14" i="7"/>
  <c r="H16" i="7" s="1"/>
  <c r="K14" i="7"/>
  <c r="L14" i="7" s="1"/>
  <c r="L16" i="7" s="1"/>
  <c r="L56" i="7" s="1"/>
  <c r="D21" i="19"/>
  <c r="H49" i="7"/>
  <c r="G49" i="7" s="1"/>
  <c r="K49" i="7" s="1"/>
  <c r="N46" i="7"/>
  <c r="P37" i="7"/>
  <c r="C40" i="7"/>
  <c r="D40" i="7" s="1"/>
  <c r="J4" i="6"/>
  <c r="J3" i="6" s="1"/>
  <c r="H41" i="7"/>
  <c r="G41" i="7" s="1"/>
  <c r="K41" i="7" s="1"/>
  <c r="L41" i="7" s="1"/>
  <c r="K3" i="6"/>
  <c r="K5" i="6"/>
  <c r="C15" i="19" l="1"/>
  <c r="C27" i="19" s="1"/>
  <c r="C28" i="19" s="1"/>
  <c r="C23" i="19"/>
  <c r="C24" i="19" s="1"/>
  <c r="C29" i="15" s="1"/>
  <c r="C21" i="15"/>
  <c r="H56" i="7"/>
  <c r="J33" i="7"/>
  <c r="L33" i="7" s="1"/>
  <c r="L34" i="7" s="1"/>
  <c r="D24" i="19"/>
  <c r="D15" i="19"/>
  <c r="D27" i="19" s="1"/>
  <c r="N3" i="11"/>
  <c r="N5" i="11"/>
  <c r="H40" i="7"/>
  <c r="G40" i="7" s="1"/>
  <c r="K40" i="7" s="1"/>
  <c r="D46" i="7"/>
  <c r="H53" i="7"/>
  <c r="C19" i="15" s="1"/>
  <c r="L49" i="7"/>
  <c r="L53" i="7" s="1"/>
  <c r="O49" i="7"/>
  <c r="P49" i="7" s="1"/>
  <c r="P53" i="7" s="1"/>
  <c r="J5" i="6"/>
  <c r="O41" i="7"/>
  <c r="P41" i="7" s="1"/>
  <c r="N33" i="7" s="1"/>
  <c r="P33" i="7" s="1"/>
  <c r="P34" i="7" s="1"/>
  <c r="D33" i="7"/>
  <c r="F33" i="7"/>
  <c r="H46" i="7" l="1"/>
  <c r="C18" i="15" s="1"/>
  <c r="H33" i="7"/>
  <c r="D34" i="7"/>
  <c r="D55" i="7" s="1"/>
  <c r="L40" i="7"/>
  <c r="L46" i="7" s="1"/>
  <c r="L55" i="7" s="1"/>
  <c r="O40" i="7"/>
  <c r="P40" i="7" s="1"/>
  <c r="P46" i="7" s="1"/>
  <c r="P55" i="7" s="1"/>
  <c r="L57" i="7" l="1"/>
  <c r="D57" i="7"/>
  <c r="P57" i="7"/>
  <c r="G33" i="7"/>
  <c r="H34" i="7"/>
  <c r="C16" i="15" s="1"/>
  <c r="H55" i="7" l="1"/>
  <c r="H57" i="7" l="1"/>
  <c r="C20" i="15"/>
  <c r="C22" i="15" l="1"/>
  <c r="D9" i="7" l="1"/>
  <c r="H9" i="7" l="1"/>
  <c r="P9" i="7"/>
  <c r="P10" i="7" s="1"/>
  <c r="L9" i="7"/>
  <c r="L10" i="7" s="1"/>
  <c r="D10" i="7"/>
  <c r="H10" i="7" l="1"/>
  <c r="C29" i="19" s="1"/>
  <c r="D61" i="7"/>
  <c r="C25" i="15" s="1"/>
  <c r="D60" i="7"/>
  <c r="C24" i="15" s="1"/>
  <c r="D62" i="7"/>
  <c r="C26" i="15" s="1"/>
  <c r="L61" i="7"/>
  <c r="L60" i="7"/>
  <c r="L62" i="7"/>
  <c r="P61" i="7"/>
  <c r="P60" i="7"/>
  <c r="P62" i="7"/>
  <c r="C14" i="15" l="1"/>
  <c r="H61" i="7"/>
  <c r="H60" i="7"/>
  <c r="H62" i="7"/>
  <c r="E17" i="15" l="1"/>
  <c r="E21" i="15"/>
  <c r="E19" i="15"/>
  <c r="E18" i="15"/>
  <c r="E16" i="15"/>
  <c r="E20" i="15"/>
  <c r="G20" i="15" s="1"/>
  <c r="E22" i="15"/>
  <c r="G16" i="15" l="1"/>
  <c r="G18" i="15"/>
  <c r="G19" i="15"/>
  <c r="G1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Karsikas Tomi</author>
  </authors>
  <commentList>
    <comment ref="E7" authorId="0" shapeId="0" xr:uid="{00000000-0006-0000-0100-000001000000}">
      <text>
        <r>
          <rPr>
            <b/>
            <sz val="9"/>
            <color indexed="81"/>
            <rFont val="Tahoma"/>
            <family val="2"/>
          </rPr>
          <t>Karsikas Tomi:</t>
        </r>
        <r>
          <rPr>
            <sz val="9"/>
            <color indexed="81"/>
            <rFont val="Tahoma"/>
            <family val="2"/>
          </rPr>
          <t xml:space="preserve">
= korjataan sato jonkun muun pellolta. Nämä hehtaarit eivät ole omassa tukihakemuksessa.</t>
        </r>
      </text>
    </comment>
    <comment ref="E8" authorId="0" shapeId="0" xr:uid="{00000000-0006-0000-0100-000002000000}">
      <text>
        <r>
          <rPr>
            <b/>
            <sz val="9"/>
            <color indexed="81"/>
            <rFont val="Tahoma"/>
            <family val="2"/>
          </rPr>
          <t>Karsikas Tomi:</t>
        </r>
        <r>
          <rPr>
            <sz val="9"/>
            <color indexed="81"/>
            <rFont val="Tahoma"/>
            <family val="2"/>
          </rPr>
          <t xml:space="preserve">
Tämä arvo siirtyy laskelma-välilehdelle</t>
        </r>
      </text>
    </comment>
    <comment ref="E16" authorId="0" shapeId="0" xr:uid="{00000000-0006-0000-0100-000003000000}">
      <text>
        <r>
          <rPr>
            <b/>
            <sz val="9"/>
            <color indexed="81"/>
            <rFont val="Tahoma"/>
            <family val="2"/>
          </rPr>
          <t>Karsikas Tomi:</t>
        </r>
        <r>
          <rPr>
            <sz val="9"/>
            <color indexed="81"/>
            <rFont val="Tahoma"/>
            <family val="2"/>
          </rPr>
          <t xml:space="preserve">
Tämä arvo siirtyy laskelma-välilehdelle</t>
        </r>
      </text>
    </comment>
    <comment ref="E17" authorId="0" shapeId="0" xr:uid="{00000000-0006-0000-0100-000004000000}">
      <text>
        <r>
          <rPr>
            <b/>
            <sz val="9"/>
            <color indexed="81"/>
            <rFont val="Tahoma"/>
            <family val="2"/>
          </rPr>
          <t>Karsikas Tomi:</t>
        </r>
        <r>
          <rPr>
            <sz val="9"/>
            <color indexed="81"/>
            <rFont val="Tahoma"/>
            <family val="2"/>
          </rPr>
          <t xml:space="preserve">
Tämä arvo siirtyy laskelma-välilehdelle</t>
        </r>
      </text>
    </comment>
    <comment ref="E19" authorId="0" shapeId="0" xr:uid="{00000000-0006-0000-0100-000005000000}">
      <text>
        <r>
          <rPr>
            <b/>
            <sz val="9"/>
            <color indexed="81"/>
            <rFont val="Tahoma"/>
            <family val="2"/>
          </rPr>
          <t>Karsikas Tomi:</t>
        </r>
        <r>
          <rPr>
            <sz val="9"/>
            <color indexed="81"/>
            <rFont val="Tahoma"/>
            <family val="2"/>
          </rPr>
          <t xml:space="preserve">
Klikkaa hiirella solua ja valitse pudotusvalikosta maakunta, jossa tila sijaitsee</t>
        </r>
      </text>
    </comment>
    <comment ref="E20" authorId="0" shapeId="0" xr:uid="{00000000-0006-0000-0100-000006000000}">
      <text>
        <r>
          <rPr>
            <b/>
            <sz val="9"/>
            <color indexed="81"/>
            <rFont val="Tahoma"/>
            <family val="2"/>
          </rPr>
          <t>Karsikas Tomi:</t>
        </r>
        <r>
          <rPr>
            <sz val="9"/>
            <color indexed="81"/>
            <rFont val="Tahoma"/>
            <family val="2"/>
          </rPr>
          <t xml:space="preserve">
Tämä arvo siirtyy laskelma-välilehdelle</t>
        </r>
      </text>
    </comment>
    <comment ref="E21" authorId="0" shapeId="0" xr:uid="{00000000-0006-0000-0100-000007000000}">
      <text>
        <r>
          <rPr>
            <b/>
            <sz val="9"/>
            <color indexed="81"/>
            <rFont val="Tahoma"/>
            <family val="2"/>
          </rPr>
          <t>Karsikas Tomi:</t>
        </r>
        <r>
          <rPr>
            <sz val="9"/>
            <color indexed="81"/>
            <rFont val="Tahoma"/>
            <family val="2"/>
          </rPr>
          <t xml:space="preserve">
Tämä arvo siirtyy laskelma-välilehdelle</t>
        </r>
      </text>
    </comment>
    <comment ref="D24" authorId="0" shapeId="0" xr:uid="{00000000-0006-0000-0100-000008000000}">
      <text>
        <r>
          <rPr>
            <b/>
            <sz val="9"/>
            <color indexed="81"/>
            <rFont val="Tahoma"/>
            <family val="2"/>
          </rPr>
          <t>Karsikas Tomi:</t>
        </r>
        <r>
          <rPr>
            <sz val="9"/>
            <color indexed="81"/>
            <rFont val="Tahoma"/>
            <family val="2"/>
          </rPr>
          <t xml:space="preserve">
% omien ja vuokrapeltojen yhteismäärästä</t>
        </r>
      </text>
    </comment>
    <comment ref="E40" authorId="0" shapeId="0" xr:uid="{00000000-0006-0000-0100-000009000000}">
      <text>
        <r>
          <rPr>
            <b/>
            <sz val="9"/>
            <color indexed="81"/>
            <rFont val="Tahoma"/>
            <family val="2"/>
          </rPr>
          <t>Karsikas Tomi:</t>
        </r>
        <r>
          <rPr>
            <sz val="9"/>
            <color indexed="81"/>
            <rFont val="Tahoma"/>
            <family val="2"/>
          </rPr>
          <t xml:space="preserve">
Klikkaa hiirella solua ja valitse pudotusvalikosta tkialue, jolla tila sijaitsee</t>
        </r>
      </text>
    </comment>
    <comment ref="D43" authorId="0" shapeId="0" xr:uid="{00000000-0006-0000-0100-00000A000000}">
      <text>
        <r>
          <rPr>
            <b/>
            <sz val="9"/>
            <color indexed="81"/>
            <rFont val="Tahoma"/>
            <family val="2"/>
          </rPr>
          <t>Karsikas Tomi:</t>
        </r>
        <r>
          <rPr>
            <sz val="9"/>
            <color indexed="81"/>
            <rFont val="Tahoma"/>
            <family val="2"/>
          </rPr>
          <t xml:space="preserve">
Merkitse tähän, kuinka monelle hehtaarille kyseistä tukea saat.
Jos raivioita tai muuten tukikelvottomia aloja, niin ne hehtaarit vähennetään tässä. </t>
        </r>
      </text>
    </comment>
    <comment ref="C48" authorId="0" shapeId="0" xr:uid="{00000000-0006-0000-0100-00000B000000}">
      <text>
        <r>
          <rPr>
            <b/>
            <sz val="9"/>
            <color indexed="81"/>
            <rFont val="Tahoma"/>
            <family val="2"/>
          </rPr>
          <t xml:space="preserve">Karsikas Tomi:
</t>
        </r>
        <r>
          <rPr>
            <sz val="9"/>
            <color indexed="81"/>
            <rFont val="Tahoma"/>
            <family val="2"/>
          </rPr>
          <t>Herne, härkäpapu, rypsi, rapsi, muut valkuaiskasvit 100 €/ha</t>
        </r>
      </text>
    </comment>
    <comment ref="C49" authorId="0" shapeId="0" xr:uid="{00000000-0006-0000-0100-00000C000000}">
      <text>
        <r>
          <rPr>
            <b/>
            <sz val="9"/>
            <color indexed="81"/>
            <rFont val="Tahoma"/>
            <family val="2"/>
          </rPr>
          <t>Karsikas Tomi:</t>
        </r>
        <r>
          <rPr>
            <sz val="9"/>
            <color indexed="81"/>
            <rFont val="Tahoma"/>
            <family val="2"/>
          </rPr>
          <t xml:space="preserve">
Maksetaan: ruis, valkuaiskasvit</t>
        </r>
      </text>
    </comment>
    <comment ref="C53" authorId="0" shapeId="0" xr:uid="{00000000-0006-0000-0100-00000D000000}">
      <text>
        <r>
          <rPr>
            <b/>
            <sz val="9"/>
            <color indexed="81"/>
            <rFont val="Tahoma"/>
            <family val="2"/>
          </rPr>
          <t>Karsikas Tomi:</t>
        </r>
        <r>
          <rPr>
            <sz val="9"/>
            <color indexed="81"/>
            <rFont val="Tahoma"/>
            <family val="2"/>
          </rPr>
          <t xml:space="preserve">
Jos kohdentamisalue, niin 54 €/ha. Asiasta tarkemmin Tuet-välilehdellä</t>
        </r>
      </text>
    </comment>
    <comment ref="C54" authorId="0" shapeId="0" xr:uid="{00000000-0006-0000-0100-00000E000000}">
      <text>
        <r>
          <rPr>
            <b/>
            <sz val="9"/>
            <color indexed="81"/>
            <rFont val="Tahoma"/>
            <family val="2"/>
          </rPr>
          <t>Karsikas Tomi:</t>
        </r>
        <r>
          <rPr>
            <sz val="9"/>
            <color indexed="81"/>
            <rFont val="Tahoma"/>
            <family val="2"/>
          </rPr>
          <t xml:space="preserve">
Esim. kerääjäkasvi 100 €/ha. Maksetaan maksimissaan 25 %:lle tilan tukikelpoisesta pinta-alasta</t>
        </r>
      </text>
    </comment>
    <comment ref="E60" authorId="0" shapeId="0" xr:uid="{00000000-0006-0000-0100-00000F000000}">
      <text>
        <r>
          <rPr>
            <b/>
            <sz val="9"/>
            <color indexed="81"/>
            <rFont val="Tahoma"/>
            <family val="2"/>
          </rPr>
          <t>Karsikas Tomi:</t>
        </r>
        <r>
          <rPr>
            <sz val="9"/>
            <color indexed="81"/>
            <rFont val="Tahoma"/>
            <family val="2"/>
          </rPr>
          <t xml:space="preserve">
Jos saat laskettua haettujen peltotukien määrän VIPU-palvelusta, syötä summa tähän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Karsikas Tomi</author>
  </authors>
  <commentList>
    <comment ref="F3" authorId="0" shapeId="0" xr:uid="{00000000-0006-0000-0700-000001000000}">
      <text>
        <r>
          <rPr>
            <b/>
            <sz val="9"/>
            <color indexed="81"/>
            <rFont val="Tahoma"/>
            <family val="2"/>
          </rPr>
          <t>Varaston koon kuutioina voi syöttää myös suoraan tähän</t>
        </r>
      </text>
    </comment>
    <comment ref="F16" authorId="0" shapeId="0" xr:uid="{00000000-0006-0000-0700-000002000000}">
      <text>
        <r>
          <rPr>
            <b/>
            <sz val="9"/>
            <color indexed="81"/>
            <rFont val="Tahoma"/>
            <family val="2"/>
          </rPr>
          <t>Varaston koon kuutioina voi syöttää myös suoraan tähän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Karsikas Tomi</author>
  </authors>
  <commentList>
    <comment ref="B7" authorId="0" shapeId="0" xr:uid="{00000000-0006-0000-0200-000001000000}">
      <text>
        <r>
          <rPr>
            <b/>
            <sz val="9"/>
            <color indexed="81"/>
            <rFont val="Tahoma"/>
            <family val="2"/>
          </rPr>
          <t>Karsikas Tomi:</t>
        </r>
        <r>
          <rPr>
            <sz val="9"/>
            <color indexed="81"/>
            <rFont val="Tahoma"/>
            <family val="2"/>
          </rPr>
          <t xml:space="preserve">
Tähän kaikki tilan peltoviljelyyn käytettävät koneet. Eli ne koneet, jotka tarvitaan siihen, että laskelman viljelykasvit saadaan viljeltyä ja korjattua varastoon.</t>
        </r>
      </text>
    </comment>
    <comment ref="C7" authorId="0" shapeId="0" xr:uid="{00000000-0006-0000-0200-000002000000}">
      <text>
        <r>
          <rPr>
            <b/>
            <sz val="9"/>
            <color indexed="81"/>
            <rFont val="Tahoma"/>
            <family val="2"/>
          </rPr>
          <t>Karsikas Tomi:</t>
        </r>
        <r>
          <rPr>
            <sz val="9"/>
            <color indexed="81"/>
            <rFont val="Tahoma"/>
            <family val="2"/>
          </rPr>
          <t xml:space="preserve">
Toteutunut hinta tai jälleenhankintahinta </t>
        </r>
      </text>
    </comment>
    <comment ref="D7" authorId="0" shapeId="0" xr:uid="{00000000-0006-0000-0200-000003000000}">
      <text>
        <r>
          <rPr>
            <b/>
            <sz val="9"/>
            <color indexed="81"/>
            <rFont val="Tahoma"/>
            <family val="2"/>
          </rPr>
          <t>Karsikas Tomi:</t>
        </r>
        <r>
          <rPr>
            <sz val="9"/>
            <color indexed="81"/>
            <rFont val="Tahoma"/>
            <family val="2"/>
          </rPr>
          <t xml:space="preserve">
Kuinka monta vuotta koneen hankinnasta on kulunut. Vaikuttaa koneiden nykyarvon laskentaan.</t>
        </r>
      </text>
    </comment>
    <comment ref="E7" authorId="0" shapeId="0" xr:uid="{00000000-0006-0000-0200-000004000000}">
      <text>
        <r>
          <rPr>
            <b/>
            <sz val="9"/>
            <color indexed="81"/>
            <rFont val="Tahoma"/>
            <family val="2"/>
          </rPr>
          <t>Karsikas Tomi:</t>
        </r>
        <r>
          <rPr>
            <sz val="9"/>
            <color indexed="81"/>
            <rFont val="Tahoma"/>
            <family val="2"/>
          </rPr>
          <t xml:space="preserve">
Kuinka monta vuotta konetta käytetään tilalla. (hankinnasta --&gt; myyntiin tai  romutukseen)</t>
        </r>
      </text>
    </comment>
    <comment ref="F7" authorId="0" shapeId="0" xr:uid="{00000000-0006-0000-0200-000005000000}">
      <text>
        <r>
          <rPr>
            <b/>
            <sz val="9"/>
            <color indexed="81"/>
            <rFont val="Tahoma"/>
            <family val="2"/>
          </rPr>
          <t>Karsikas Tomi:</t>
        </r>
        <r>
          <rPr>
            <sz val="9"/>
            <color indexed="81"/>
            <rFont val="Tahoma"/>
            <family val="2"/>
          </rPr>
          <t xml:space="preserve">
Arvio koneen jäännösarvosta käyttöajan päättyessä
</t>
        </r>
      </text>
    </comment>
    <comment ref="G7" authorId="0" shapeId="0" xr:uid="{00000000-0006-0000-0200-000006000000}">
      <text>
        <r>
          <rPr>
            <b/>
            <sz val="9"/>
            <color indexed="81"/>
            <rFont val="Tahoma"/>
            <family val="2"/>
          </rPr>
          <t>Karsikas Tomi:</t>
        </r>
        <r>
          <rPr>
            <sz val="9"/>
            <color indexed="81"/>
            <rFont val="Tahoma"/>
            <family val="2"/>
          </rPr>
          <t xml:space="preserve">
Voi myös laittaa todellisen summan, jos on tiedossa.
Tsekkaa summariviltä (solu G4), että huollon kokonaiskustannukset vuodessa näyttävät järkevältä. Jos tarvetta muutta, niin muuta huoltokustannus-% (solussa G6). 
Säilörehulle jyvittyvä osa huoltokustannuksesta näkyy solussa V4. Se siirtyy laskelma-välilehdelle huoltokustannus -kohtaan.</t>
        </r>
      </text>
    </comment>
    <comment ref="I7" authorId="0" shapeId="0" xr:uid="{00000000-0006-0000-0200-000007000000}">
      <text>
        <r>
          <rPr>
            <b/>
            <sz val="9"/>
            <color indexed="81"/>
            <rFont val="Tahoma"/>
            <family val="2"/>
          </rPr>
          <t>Karsikas Tomi:</t>
        </r>
        <r>
          <rPr>
            <sz val="9"/>
            <color indexed="81"/>
            <rFont val="Tahoma"/>
            <family val="2"/>
          </rPr>
          <t xml:space="preserve">
Jos yhteiskoneita, niin tähän omistusosuus
</t>
        </r>
      </text>
    </comment>
    <comment ref="J7" authorId="0" shapeId="0" xr:uid="{00000000-0006-0000-0200-000008000000}">
      <text>
        <r>
          <rPr>
            <b/>
            <sz val="9"/>
            <color indexed="81"/>
            <rFont val="Tahoma"/>
            <family val="2"/>
          </rPr>
          <t>Karsikas Tomi:</t>
        </r>
        <r>
          <rPr>
            <sz val="9"/>
            <color indexed="81"/>
            <rFont val="Tahoma"/>
            <family val="2"/>
          </rPr>
          <t xml:space="preserve">
Kuinka suuri osa koneen käytöstä kohdistuu kyseisen kasvin viljelyyn,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Karsikas Tomi</author>
  </authors>
  <commentList>
    <comment ref="C7" authorId="0" shapeId="0" xr:uid="{00000000-0006-0000-0300-000001000000}">
      <text>
        <r>
          <rPr>
            <b/>
            <sz val="9"/>
            <color indexed="81"/>
            <rFont val="Tahoma"/>
            <family val="2"/>
          </rPr>
          <t>Karsikas Tomi:</t>
        </r>
        <r>
          <rPr>
            <sz val="9"/>
            <color indexed="81"/>
            <rFont val="Tahoma"/>
            <family val="2"/>
          </rPr>
          <t xml:space="preserve">
Todellinen rakennuskustannus - investointiavustus.</t>
        </r>
      </text>
    </comment>
    <comment ref="D7" authorId="0" shapeId="0" xr:uid="{00000000-0006-0000-0300-000002000000}">
      <text>
        <r>
          <rPr>
            <b/>
            <sz val="9"/>
            <color indexed="81"/>
            <rFont val="Tahoma"/>
            <family val="2"/>
          </rPr>
          <t>Karsikas Tomi:</t>
        </r>
        <r>
          <rPr>
            <sz val="9"/>
            <color indexed="81"/>
            <rFont val="Tahoma"/>
            <family val="2"/>
          </rPr>
          <t xml:space="preserve">
Kuinka monta vuotta koneen hankinnasta on kulunut. Vaikuttaa koneiden nykyarvon laskentaan.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Karsikas Tomi</author>
  </authors>
  <commentList>
    <comment ref="J4" authorId="0" shapeId="0" xr:uid="{00000000-0006-0000-0500-000001000000}">
      <text>
        <r>
          <rPr>
            <b/>
            <sz val="9"/>
            <color indexed="81"/>
            <rFont val="Tahoma"/>
            <family val="2"/>
          </rPr>
          <t>Karsikas Tomi:</t>
        </r>
        <r>
          <rPr>
            <sz val="9"/>
            <color indexed="81"/>
            <rFont val="Tahoma"/>
            <family val="2"/>
          </rPr>
          <t xml:space="preserve">
Eri versiot voi myös nimetä jollakin kuvaavalla nimellä tähän soluun. Esim. Satotason nosto tai Urakointi tai Raiviot. Tms...</t>
        </r>
      </text>
    </comment>
    <comment ref="N4" authorId="0" shapeId="0" xr:uid="{00000000-0006-0000-0500-000002000000}">
      <text>
        <r>
          <rPr>
            <b/>
            <sz val="9"/>
            <color indexed="81"/>
            <rFont val="Tahoma"/>
            <family val="2"/>
          </rPr>
          <t>Karsikas Tomi:</t>
        </r>
        <r>
          <rPr>
            <sz val="9"/>
            <color indexed="81"/>
            <rFont val="Tahoma"/>
            <family val="2"/>
          </rPr>
          <t xml:space="preserve">
Eri versiot voi myös nimetä jollakin kuvaavalla nimellä tähän soluun. Esim. Satotason nosto tai Urakointi tai Raiviot. Tms...</t>
        </r>
      </text>
    </comment>
    <comment ref="D5" authorId="0" shapeId="0" xr:uid="{00000000-0006-0000-0500-000003000000}">
      <text>
        <r>
          <rPr>
            <b/>
            <sz val="9"/>
            <color indexed="81"/>
            <rFont val="Tahoma"/>
            <family val="2"/>
          </rPr>
          <t>Karsikas Tomi:</t>
        </r>
        <r>
          <rPr>
            <sz val="9"/>
            <color indexed="81"/>
            <rFont val="Tahoma"/>
            <family val="2"/>
          </rPr>
          <t xml:space="preserve">
Täytä hehtaarit ensin Pelto -välilehdelle</t>
        </r>
      </text>
    </comment>
    <comment ref="D8" authorId="0" shapeId="0" xr:uid="{00000000-0006-0000-0500-000004000000}">
      <text>
        <r>
          <rPr>
            <b/>
            <sz val="9"/>
            <color indexed="81"/>
            <rFont val="Tahoma"/>
            <family val="2"/>
          </rPr>
          <t>Karsikas Tomi:</t>
        </r>
        <r>
          <rPr>
            <sz val="9"/>
            <color indexed="81"/>
            <rFont val="Tahoma"/>
            <family val="2"/>
          </rPr>
          <t xml:space="preserve">
Voit käyttää apuna sadon määrän laskennassa välilehden "Satovarastojen arviointia" taulukkoa (tiedot siirtyvät sieltä suoraan tähän), tai syöttää tähän suoraan satotiedot.
</t>
        </r>
      </text>
    </comment>
    <comment ref="D11" authorId="0" shapeId="0" xr:uid="{00000000-0006-0000-0500-000005000000}">
      <text>
        <r>
          <rPr>
            <b/>
            <sz val="9"/>
            <color indexed="81"/>
            <rFont val="Tahoma"/>
            <family val="2"/>
          </rPr>
          <t>Karsikas Tomi:</t>
        </r>
        <r>
          <rPr>
            <sz val="9"/>
            <color indexed="81"/>
            <rFont val="Tahoma"/>
            <family val="2"/>
          </rPr>
          <t xml:space="preserve">
Sadon tavoitekosteus (muutetaan sato samaan kosteuteen, jotta voidaan vertailla eri kosteuksisia viljoja)</t>
        </r>
      </text>
    </comment>
    <comment ref="D14" authorId="0" shapeId="0" xr:uid="{00000000-0006-0000-0500-000006000000}">
      <text>
        <r>
          <rPr>
            <b/>
            <sz val="9"/>
            <color indexed="81"/>
            <rFont val="Tahoma"/>
            <family val="2"/>
          </rPr>
          <t>Karsikas Tomi:</t>
        </r>
        <r>
          <rPr>
            <sz val="9"/>
            <color indexed="81"/>
            <rFont val="Tahoma"/>
            <family val="2"/>
          </rPr>
          <t xml:space="preserve">
Täytä tukitiedot ensin Pelto -välilehdelle</t>
        </r>
      </text>
    </comment>
    <comment ref="A15" authorId="0" shapeId="0" xr:uid="{00000000-0006-0000-0500-000007000000}">
      <text>
        <r>
          <rPr>
            <b/>
            <sz val="9"/>
            <color indexed="81"/>
            <rFont val="Tahoma"/>
            <family val="2"/>
          </rPr>
          <t>Karsikas Tomi:</t>
        </r>
        <r>
          <rPr>
            <sz val="9"/>
            <color indexed="81"/>
            <rFont val="Tahoma"/>
            <family val="2"/>
          </rPr>
          <t xml:space="preserve">
Esim. ylimääräisen säilörehun myyntitulot tai olkien myyntitulot viljalla...</t>
        </r>
      </text>
    </comment>
    <comment ref="A18" authorId="0" shapeId="0" xr:uid="{00000000-0006-0000-0500-000008000000}">
      <text>
        <r>
          <rPr>
            <b/>
            <sz val="9"/>
            <color indexed="81"/>
            <rFont val="Tahoma"/>
            <family val="2"/>
          </rPr>
          <t>Karsikas Tomi:</t>
        </r>
        <r>
          <rPr>
            <sz val="9"/>
            <color indexed="81"/>
            <rFont val="Tahoma"/>
            <family val="2"/>
          </rPr>
          <t xml:space="preserve">
Tähän mukaan myös kaikki sopimusalajen ja tuettomien alojen muuttuvat kustannukset.
</t>
        </r>
      </text>
    </comment>
    <comment ref="A19" authorId="0" shapeId="0" xr:uid="{00000000-0006-0000-0500-000009000000}">
      <text>
        <r>
          <rPr>
            <b/>
            <sz val="9"/>
            <color indexed="81"/>
            <rFont val="Tahoma"/>
            <family val="2"/>
          </rPr>
          <t>Karsikas Tomi:</t>
        </r>
        <r>
          <rPr>
            <sz val="9"/>
            <color indexed="81"/>
            <rFont val="Tahoma"/>
            <family val="2"/>
          </rPr>
          <t xml:space="preserve">
Oman siemenen osalta käytetään tässä kyseisen kasvin siementen markkinahintaa</t>
        </r>
      </text>
    </comment>
    <comment ref="A32" authorId="0" shapeId="0" xr:uid="{00000000-0006-0000-0500-00000A000000}">
      <text>
        <r>
          <rPr>
            <b/>
            <sz val="9"/>
            <color indexed="81"/>
            <rFont val="Tahoma"/>
            <family val="2"/>
          </rPr>
          <t>Karsikas Tomi:</t>
        </r>
        <r>
          <rPr>
            <sz val="9"/>
            <color indexed="81"/>
            <rFont val="Tahoma"/>
            <family val="2"/>
          </rPr>
          <t xml:space="preserve">
Esim. jätehuolto, jne</t>
        </r>
      </text>
    </comment>
    <comment ref="C37" authorId="0" shapeId="0" xr:uid="{00000000-0006-0000-0500-00000B000000}">
      <text>
        <r>
          <rPr>
            <b/>
            <sz val="9"/>
            <color indexed="81"/>
            <rFont val="Tahoma"/>
            <family val="2"/>
          </rPr>
          <t>Palkka 15,6 €/h + vakuutus 2,2 €/h</t>
        </r>
      </text>
    </comment>
    <comment ref="G37" authorId="0" shapeId="0" xr:uid="{00000000-0006-0000-0500-00000C000000}">
      <text>
        <r>
          <rPr>
            <b/>
            <sz val="9"/>
            <color indexed="81"/>
            <rFont val="Tahoma"/>
            <family val="2"/>
          </rPr>
          <t>Palkka 15,6 €/h + vakuutus 2,2 €/h</t>
        </r>
      </text>
    </comment>
    <comment ref="K37" authorId="0" shapeId="0" xr:uid="{00000000-0006-0000-0500-00000D000000}">
      <text>
        <r>
          <rPr>
            <b/>
            <sz val="9"/>
            <color indexed="81"/>
            <rFont val="Tahoma"/>
            <family val="2"/>
          </rPr>
          <t>Palkka 15,6 €/h + vakuutus 2,2 €/h</t>
        </r>
      </text>
    </comment>
    <comment ref="O37" authorId="0" shapeId="0" xr:uid="{00000000-0006-0000-0500-00000E000000}">
      <text>
        <r>
          <rPr>
            <b/>
            <sz val="9"/>
            <color indexed="81"/>
            <rFont val="Tahoma"/>
            <family val="2"/>
          </rPr>
          <t>Palkka 15,6 €/h + vakuutus 2,2 €/h</t>
        </r>
      </text>
    </comment>
    <comment ref="A38" authorId="0" shapeId="0" xr:uid="{00000000-0006-0000-0500-00000F000000}">
      <text>
        <r>
          <rPr>
            <b/>
            <sz val="9"/>
            <color indexed="81"/>
            <rFont val="Tahoma"/>
            <family val="2"/>
          </rPr>
          <t>Karsikas Tomi:</t>
        </r>
        <r>
          <rPr>
            <sz val="9"/>
            <color indexed="81"/>
            <rFont val="Tahoma"/>
            <family val="2"/>
          </rPr>
          <t xml:space="preserve">
Palkattu työvoima (ei koneita)</t>
        </r>
      </text>
    </comment>
    <comment ref="A39" authorId="0" shapeId="0" xr:uid="{00000000-0006-0000-0500-000010000000}">
      <text>
        <r>
          <rPr>
            <b/>
            <sz val="9"/>
            <color indexed="81"/>
            <rFont val="Tahoma"/>
            <family val="2"/>
          </rPr>
          <t>Karsikas Tomi:</t>
        </r>
        <r>
          <rPr>
            <sz val="9"/>
            <color indexed="81"/>
            <rFont val="Tahoma"/>
            <family val="2"/>
          </rPr>
          <t xml:space="preserve">
Kirjaa tähän arvio, mikä on työn osuus urakoitsijoiden urakointikustannuksesta.
Tätä ei lasketa tässä kohdassa mukaan kustannukseen, mutta yhteenveto välilehden erittelyyn otetaan urakointipalveluista työn osuus mukaan työkustannukseen ja pienennetään vastaavasti konekustannuksen määrää vertailtavuuden vuoksi.</t>
        </r>
      </text>
    </comment>
    <comment ref="A40" authorId="0" shapeId="0" xr:uid="{00000000-0006-0000-0500-000011000000}">
      <text>
        <r>
          <rPr>
            <b/>
            <sz val="9"/>
            <color indexed="81"/>
            <rFont val="Tahoma"/>
            <family val="2"/>
          </rPr>
          <t>Karsikas Tomi:</t>
        </r>
        <r>
          <rPr>
            <sz val="9"/>
            <color indexed="81"/>
            <rFont val="Tahoma"/>
            <family val="2"/>
          </rPr>
          <t xml:space="preserve">
Laske konekustannus Koneet-välilehdellä. Säilörehullle jyvittyvä osuus konekustannuksista siirtyy tälle riville.</t>
        </r>
      </text>
    </comment>
    <comment ref="A41" authorId="0" shapeId="0" xr:uid="{00000000-0006-0000-0500-000012000000}">
      <text>
        <r>
          <rPr>
            <b/>
            <sz val="9"/>
            <color indexed="81"/>
            <rFont val="Tahoma"/>
            <family val="2"/>
          </rPr>
          <t>Karsikas Tomi:</t>
        </r>
        <r>
          <rPr>
            <sz val="9"/>
            <color indexed="81"/>
            <rFont val="Tahoma"/>
            <family val="2"/>
          </rPr>
          <t xml:space="preserve">
Koneiden huolto- ja korjauskustannuksen laskentaan on kaksi vaihtoehtoa.
A. Voit ottaa kustannuksen suoraan kirjanpidosta ja arvioida kuinka suuri osa kustannuksesta kohdistuu säilörehulle
B. Kirjaa koneet ensin kone-välilehdelle. Konevälilehdelle huolto- ja korjauskustannuksen oletuksena on 5 % koneen käyttöajan keskimääräisestä arvosta. Kun olet kirjannut koneet luetteloon, voit verrata koneluottelon solun F4 summaa kirjanpidon toteumaan ja muuttaa huoltokustannus-% tarvittaessa. Säilörehulle koneiden käytön suhteessa jyvittyvä huoltokustannus näkyy koneluettelon solussa U4 ja siirtyy tälle riville. </t>
        </r>
      </text>
    </comment>
    <comment ref="A42" authorId="0" shapeId="0" xr:uid="{00000000-0006-0000-0500-000013000000}">
      <text>
        <r>
          <rPr>
            <b/>
            <sz val="9"/>
            <color indexed="81"/>
            <rFont val="Tahoma"/>
            <family val="2"/>
          </rPr>
          <t>Karsikas Tomi:</t>
        </r>
        <r>
          <rPr>
            <sz val="9"/>
            <color indexed="81"/>
            <rFont val="Tahoma"/>
            <family val="2"/>
          </rPr>
          <t xml:space="preserve">
Kyseisen kasvin viljelyyn käytetyn polttoaineen osuus polttoaineen kokonaiskustannuksesta. 
</t>
        </r>
      </text>
    </comment>
    <comment ref="B43" authorId="0" shapeId="0" xr:uid="{00000000-0006-0000-0500-000014000000}">
      <text>
        <r>
          <rPr>
            <b/>
            <sz val="9"/>
            <color indexed="81"/>
            <rFont val="Tahoma"/>
            <family val="2"/>
          </rPr>
          <t>Karsikas Tomi:</t>
        </r>
        <r>
          <rPr>
            <sz val="9"/>
            <color indexed="81"/>
            <rFont val="Tahoma"/>
            <family val="2"/>
          </rPr>
          <t xml:space="preserve">
Tässä esim. 1 tunti/tonni</t>
        </r>
      </text>
    </comment>
    <comment ref="A49" authorId="0" shapeId="0" xr:uid="{00000000-0006-0000-0500-000015000000}">
      <text>
        <r>
          <rPr>
            <b/>
            <sz val="9"/>
            <color indexed="81"/>
            <rFont val="Tahoma"/>
            <family val="2"/>
          </rPr>
          <t>Karsikas Tomi:</t>
        </r>
        <r>
          <rPr>
            <sz val="9"/>
            <color indexed="81"/>
            <rFont val="Tahoma"/>
            <family val="2"/>
          </rPr>
          <t xml:space="preserve">
Laske rakennuksista aiheutuva kustannus Rakennukset -välillehdellä. 
Siirrä säilörehulle jyvittyvä osuus soluun C45.</t>
        </r>
      </text>
    </comment>
    <comment ref="A50" authorId="0" shapeId="0" xr:uid="{00000000-0006-0000-0500-000016000000}">
      <text>
        <r>
          <rPr>
            <b/>
            <sz val="9"/>
            <color indexed="81"/>
            <rFont val="Tahoma"/>
            <family val="2"/>
          </rPr>
          <t>Karsikas Tomi:</t>
        </r>
        <r>
          <rPr>
            <sz val="9"/>
            <color indexed="81"/>
            <rFont val="Tahoma"/>
            <family val="2"/>
          </rPr>
          <t xml:space="preserve">
Täytä peltoihin liittyvät tiedot ensin Pelto -välilehdelle.
Pellon toteutuneet kauppahinnat ja siitä noin 75 % tähän pellon "käyväksi arvoksi".</t>
        </r>
      </text>
    </comment>
    <comment ref="A51" authorId="0" shapeId="0" xr:uid="{00000000-0006-0000-0500-000017000000}">
      <text>
        <r>
          <rPr>
            <b/>
            <sz val="9"/>
            <color indexed="81"/>
            <rFont val="Tahoma"/>
            <family val="2"/>
          </rPr>
          <t>Karsikas Tomi:</t>
        </r>
        <r>
          <rPr>
            <sz val="9"/>
            <color indexed="81"/>
            <rFont val="Tahoma"/>
            <family val="2"/>
          </rPr>
          <t xml:space="preserve">
Täytä peltoihin liittyvät tiedot ensin Pelto -välilehdelle.</t>
        </r>
      </text>
    </comment>
    <comment ref="A52" authorId="0" shapeId="0" xr:uid="{00000000-0006-0000-0500-000018000000}">
      <text>
        <r>
          <rPr>
            <b/>
            <sz val="9"/>
            <color indexed="81"/>
            <rFont val="Tahoma"/>
            <family val="2"/>
          </rPr>
          <t>Karsikas Tomi:</t>
        </r>
        <r>
          <rPr>
            <sz val="9"/>
            <color indexed="81"/>
            <rFont val="Tahoma"/>
            <family val="2"/>
          </rPr>
          <t xml:space="preserve">
Sisältää: tiemaksut, viljelysuunnittelu, kirjanpito, markkinointikulu,
puhelin, ATK, toimistokulu, kurssit, opintomatkat,
henkilöauton käyttö, kiinteistövero, 
ammattikirjallisuus, työvaatteet, jäsenmaksut.
</t>
        </r>
        <r>
          <rPr>
            <b/>
            <sz val="9"/>
            <color indexed="81"/>
            <rFont val="Tahoma"/>
            <family val="2"/>
          </rPr>
          <t xml:space="preserve">VAIN toteutuneet rahamenot.
</t>
        </r>
      </text>
    </comment>
  </commentList>
</comments>
</file>

<file path=xl/sharedStrings.xml><?xml version="1.0" encoding="utf-8"?>
<sst xmlns="http://schemas.openxmlformats.org/spreadsheetml/2006/main" count="765" uniqueCount="420">
  <si>
    <t>määrä</t>
  </si>
  <si>
    <t>á</t>
  </si>
  <si>
    <t>€</t>
  </si>
  <si>
    <t>Tuotot yhteensä</t>
  </si>
  <si>
    <t>Kalkitus</t>
  </si>
  <si>
    <t>Yleiskustannukset</t>
  </si>
  <si>
    <t>Tuet</t>
  </si>
  <si>
    <t>Liikepääoman korko (40%)</t>
  </si>
  <si>
    <t>Muuttuvat kustannukset yhteensä</t>
  </si>
  <si>
    <t>Siemenet, kg</t>
  </si>
  <si>
    <t>Ostettava työ</t>
  </si>
  <si>
    <t>Pellon korko (omat pellot)</t>
  </si>
  <si>
    <t>Pellon vuokra</t>
  </si>
  <si>
    <t>Urakointi</t>
  </si>
  <si>
    <t>Kiinteät kustannukset yhteensä</t>
  </si>
  <si>
    <t>Kustannukset yhteensä</t>
  </si>
  <si>
    <t>Tuotot, €/ha</t>
  </si>
  <si>
    <t>Tuotantokustannus eri yksikköä kohden</t>
  </si>
  <si>
    <t>Vaihtoehto B</t>
  </si>
  <si>
    <t>Kpl</t>
  </si>
  <si>
    <t>€/ha</t>
  </si>
  <si>
    <t>Muut muuttuvat</t>
  </si>
  <si>
    <t>Hehtaarit</t>
  </si>
  <si>
    <t>Vaihtoehto C</t>
  </si>
  <si>
    <t>Koneluettelo</t>
  </si>
  <si>
    <t>Kone</t>
  </si>
  <si>
    <t>Poisto, €</t>
  </si>
  <si>
    <t>Korko, €</t>
  </si>
  <si>
    <t>Huolto, €</t>
  </si>
  <si>
    <t>Yhteensä, €</t>
  </si>
  <si>
    <t>Traktori 1</t>
  </si>
  <si>
    <t>Traktori 2</t>
  </si>
  <si>
    <t>Traktori 3</t>
  </si>
  <si>
    <t>Kyntöaura</t>
  </si>
  <si>
    <t>Äes</t>
  </si>
  <si>
    <t>Kylvökone</t>
  </si>
  <si>
    <t>Lannoitteenlevitin</t>
  </si>
  <si>
    <t>Kasvinsuojeluruisku</t>
  </si>
  <si>
    <t>Jyrä</t>
  </si>
  <si>
    <t>Oma
osuus, €</t>
  </si>
  <si>
    <t>Summarivi</t>
  </si>
  <si>
    <t>Koneiden perustiedot</t>
  </si>
  <si>
    <t>Vuotuiset kustannukset</t>
  </si>
  <si>
    <t>Muu</t>
  </si>
  <si>
    <t>Yhteensä</t>
  </si>
  <si>
    <t>Tukialue</t>
  </si>
  <si>
    <t>Pelto ja satotiedot</t>
  </si>
  <si>
    <t>Viljelyala yhteensä</t>
  </si>
  <si>
    <t>AB</t>
  </si>
  <si>
    <t>C1</t>
  </si>
  <si>
    <t>C2</t>
  </si>
  <si>
    <t>C3</t>
  </si>
  <si>
    <t>C4</t>
  </si>
  <si>
    <t xml:space="preserve">Luonnonhaittakorvaus, perusosa </t>
  </si>
  <si>
    <t>Luonnonhaittakorvauksen kotieläinkorotus</t>
  </si>
  <si>
    <t>Pohjoinen yleinen ha tuki</t>
  </si>
  <si>
    <t>Viherryttämistuki (Cap) (2 kasvia)</t>
  </si>
  <si>
    <t>Perustuki (Cap)</t>
  </si>
  <si>
    <t>Ympäristökorvaus, perusosa  (ravinteiden tasapainoinen käyttö)</t>
  </si>
  <si>
    <t>Luomukorvaus (Kasvitila 160 €/ha, kotieläintila 294 €/ha)</t>
  </si>
  <si>
    <t>Tee tarvittava hienosäätö oman tukialueesi arvoihin</t>
  </si>
  <si>
    <t>Ympäristökorvauksen lohkokohtaiset toimenpiteet:</t>
  </si>
  <si>
    <t>Tuki</t>
  </si>
  <si>
    <t>Muut tuotot</t>
  </si>
  <si>
    <t>Lannoite 1</t>
  </si>
  <si>
    <t>Lannoite 2</t>
  </si>
  <si>
    <t>ha</t>
  </si>
  <si>
    <t>Lannanlevitys</t>
  </si>
  <si>
    <t>Kasvinsuojelu</t>
  </si>
  <si>
    <t xml:space="preserve">Jne </t>
  </si>
  <si>
    <t>Urakointipalvelut yhteensä, €/ha</t>
  </si>
  <si>
    <t>Hankinta-
hinta, €</t>
  </si>
  <si>
    <t>Jäännös-
arvo, €</t>
  </si>
  <si>
    <t>Käyttö-
aika, vuotta</t>
  </si>
  <si>
    <t>Omistus-
osuus, %</t>
  </si>
  <si>
    <t>Lietevaunu</t>
  </si>
  <si>
    <t>Lietepumppu</t>
  </si>
  <si>
    <t>Jne</t>
  </si>
  <si>
    <t>Urakointipalvelut</t>
  </si>
  <si>
    <t>Koko tila</t>
  </si>
  <si>
    <t>Hehtaaria kohden</t>
  </si>
  <si>
    <t>kg</t>
  </si>
  <si>
    <t>kg/ha</t>
  </si>
  <si>
    <t>Rakennukset</t>
  </si>
  <si>
    <t>Paja</t>
  </si>
  <si>
    <t>Konehalli</t>
  </si>
  <si>
    <t>Rakennusten perustiedot</t>
  </si>
  <si>
    <t>Kustannukset - tuet</t>
  </si>
  <si>
    <t>Kunnos-
sapito, €</t>
  </si>
  <si>
    <t>Maakunta</t>
  </si>
  <si>
    <t>http://statdb.luke.fi/PXWeb/pxweb/fi/LUKE/LUKE__02%20Maatalous__06%20Talous__03%20Pellon%20vuokrahinnat/01_Pellon_vuokrahinnat.px/table/tableViewLayout2/?rxid=b554b79c-92fc-4084-848e-f8dcc5541039</t>
  </si>
  <si>
    <t>Tilasto urakointihinnoista:</t>
  </si>
  <si>
    <t>Peltojen talviaikainen kasvipeitteisyys​ 20 %</t>
  </si>
  <si>
    <t>Peltojen talviaikainen kasvipeitteisyys​ 40 %</t>
  </si>
  <si>
    <t>Peltojen talviaikainen kasvipeitteisyys​ 60 %</t>
  </si>
  <si>
    <t>Peltojen talviaikainen kasvipeitteisyys​ 80 %</t>
  </si>
  <si>
    <t>Lietelannan sijoittaminen peltoon​</t>
  </si>
  <si>
    <t>Muu alue, €/ha</t>
  </si>
  <si>
    <t>Kohdentamisalue, €/ha</t>
  </si>
  <si>
    <t>Omistus
osuus, €</t>
  </si>
  <si>
    <t>Pellon vuokrahinnat 2016</t>
  </si>
  <si>
    <t>Lähde:</t>
  </si>
  <si>
    <t>Luonnonvarakeskus, Pellon vuokrahinnat</t>
  </si>
  <si>
    <t>Päivitetty viimeksi:</t>
  </si>
  <si>
    <t>20170517 09:00</t>
  </si>
  <si>
    <t>Kaikki YHTEENSÄ</t>
  </si>
  <si>
    <t>Uusimaa</t>
  </si>
  <si>
    <t>Varsinais-Suomi</t>
  </si>
  <si>
    <t>Satakunta</t>
  </si>
  <si>
    <t>Häme</t>
  </si>
  <si>
    <t>Pirkanmaa</t>
  </si>
  <si>
    <t>Kaakkois-Suomi</t>
  </si>
  <si>
    <t>Etelä-Savo</t>
  </si>
  <si>
    <t>Pohjois-Savo</t>
  </si>
  <si>
    <t>Pohjois-Karjala</t>
  </si>
  <si>
    <t>Keski-Suomi</t>
  </si>
  <si>
    <t>Etelä-Pohjanmaa</t>
  </si>
  <si>
    <t>Pohjanmaa</t>
  </si>
  <si>
    <t>Pohjois-Pohjanmaa</t>
  </si>
  <si>
    <t>Kainuu</t>
  </si>
  <si>
    <t>Lappi</t>
  </si>
  <si>
    <t>..</t>
  </si>
  <si>
    <t>Ahvenanmaa</t>
  </si>
  <si>
    <t>ELY-keskus</t>
  </si>
  <si>
    <t>Kanta-Häme</t>
  </si>
  <si>
    <t>Päijät-Häme</t>
  </si>
  <si>
    <t>Kymenlaakso</t>
  </si>
  <si>
    <t>Etelä-Karjala</t>
  </si>
  <si>
    <t>Keski-Pohjanmaa</t>
  </si>
  <si>
    <t>Yksinomaan viljeltyä maata sisältävät kiinteistöt 
 rakentamattomat, yli 2 ha</t>
  </si>
  <si>
    <t>Mediaani, €/ha</t>
  </si>
  <si>
    <t>Keskiarvo, €/ha</t>
  </si>
  <si>
    <t>ha keskimäärin</t>
  </si>
  <si>
    <t>Pellon kauppahinnat 2016</t>
  </si>
  <si>
    <t>https://khr.maanmittauslaitos.fi/tilastopalvelu/rest/API/kiinteistokauppojen-tilastopalvelu.html?v=1.2.0&amp;#t41g4_x_2016_x_Maakunta</t>
  </si>
  <si>
    <t xml:space="preserve">Edustava kiinteistökauppa, koko kiinteistön tai määräalan kauppaa, joka ei ole sukulaisten välinen, </t>
  </si>
  <si>
    <t>omistusjärjestely, kaupassa ei ole pidätetty määräalaa, eläke- tms. oikeutta, haja-asutusalue, ei rakennuksia (voi olla arvottomia rakennuksia),</t>
  </si>
  <si>
    <t>1 000 € &lt; kauppahinta &lt; 26 000 €. Voi sisältää maataloustukea (niissä tapauksessa arvo on merkitty irtaimistoksi, tarkastellaan kuitenkin kaupan kokonaishintaa).</t>
  </si>
  <si>
    <t>Peltoa on oltava vähintään 95 % kokonaispinta-alasta. Kokonaispinta-ala vähintään 2 ha.</t>
  </si>
  <si>
    <t>Pellon kauppahinnat 2015</t>
  </si>
  <si>
    <t>Pellon kauppahinnat 2017</t>
  </si>
  <si>
    <t>Lypsy
karja</t>
  </si>
  <si>
    <t>Naudan
liha</t>
  </si>
  <si>
    <t>Vilja</t>
  </si>
  <si>
    <t>Muu kasvi</t>
  </si>
  <si>
    <t>Avomaa</t>
  </si>
  <si>
    <t>Sekamuotoinen</t>
  </si>
  <si>
    <t>75 % kauppahinnasta</t>
  </si>
  <si>
    <t>Korko</t>
  </si>
  <si>
    <t>Omaa peltoa</t>
  </si>
  <si>
    <t>Vuokrapeltoa</t>
  </si>
  <si>
    <t>Omat ja vuokratut pellot yhteensä</t>
  </si>
  <si>
    <t>Haettu peltotukien kokonaismäärä</t>
  </si>
  <si>
    <t>Tuet hehtaaria kohden keskimäärin</t>
  </si>
  <si>
    <t>Pellosta aiheutuvan pääoma- ja vuokrakustannuksen laskennassa</t>
  </si>
  <si>
    <t>Oman pellon hinta</t>
  </si>
  <si>
    <t>alla olevasta tilastosta alueen toteutuneiden peltokauppojen keskihinta ja siitä noin 75 % tähän pellon "käyväksi arvoksi".</t>
  </si>
  <si>
    <t xml:space="preserve">Tukien laskennassa: </t>
  </si>
  <si>
    <t xml:space="preserve">Pellon hinnaksi tähän joko tilan todellinen peltojen hinta, mitä on maksettu tai </t>
  </si>
  <si>
    <t>Koneisiin sitoutuneen pääoman laskentaa</t>
  </si>
  <si>
    <t>Pinta-alatiedot, pellon hinta ja peltotuet laskelmaan</t>
  </si>
  <si>
    <t>Rakennuksiin sitoutuneen pääoman laskentaa</t>
  </si>
  <si>
    <t>Rakennus</t>
  </si>
  <si>
    <t>Koneiden huolto ja korjaus</t>
  </si>
  <si>
    <t>Pääasiallinen koneiden omistus</t>
  </si>
  <si>
    <t>Päätuotantosuunta</t>
  </si>
  <si>
    <t>Viljelykasvi, jolle laskelma on tehty</t>
  </si>
  <si>
    <t>Satotaso</t>
  </si>
  <si>
    <t>Tuotantokustannus - tuet</t>
  </si>
  <si>
    <t>Omat koneet</t>
  </si>
  <si>
    <t>Yhteiskoneet</t>
  </si>
  <si>
    <t>Urakoitsija</t>
  </si>
  <si>
    <t>Maito</t>
  </si>
  <si>
    <t>Lihanauta</t>
  </si>
  <si>
    <t>Viljelykasvi, jolle laskelma tehty</t>
  </si>
  <si>
    <t>Yhteenveto laskelmasta vertailutietoja varten</t>
  </si>
  <si>
    <t>Satovuosi</t>
  </si>
  <si>
    <t>Käytettyjen urakointipalvelujen laskenta</t>
  </si>
  <si>
    <t xml:space="preserve">Oma työ </t>
  </si>
  <si>
    <t>Konekustannus, omat koneet (poisto, korko)</t>
  </si>
  <si>
    <t xml:space="preserve">Oma osuus </t>
  </si>
  <si>
    <t>Koneen kustannusten jakautuminen</t>
  </si>
  <si>
    <t>Muu
kasvi</t>
  </si>
  <si>
    <t>Koneen huoltokustannus ja sen jakautuminen</t>
  </si>
  <si>
    <t>Urakoitsijan tekemä työ (arvio työn osuudesta)</t>
  </si>
  <si>
    <t>Työ- ja konekustannukset yhteensä</t>
  </si>
  <si>
    <t>Työ- ja konekustannukset</t>
  </si>
  <si>
    <t>Kiinteät kustannukset</t>
  </si>
  <si>
    <t>Pelto ja rakennukset</t>
  </si>
  <si>
    <t>Koneet + urakointi (ilman työtä)</t>
  </si>
  <si>
    <t>Tuotantokustannus yhteensä</t>
  </si>
  <si>
    <t>Sähköpostiosoite</t>
  </si>
  <si>
    <t>Syötä nämä alla olevasta linkistä avautuvaan nettikyselylomakkeeseen, niin saat vertailutiedot jälkikäteen sähköpostilla.</t>
  </si>
  <si>
    <t>Viljelyn muuttuvat kustannukset</t>
  </si>
  <si>
    <t>Laskelman kasvin viljelyala</t>
  </si>
  <si>
    <t>Työkustannus</t>
  </si>
  <si>
    <t>Päivitykset</t>
  </si>
  <si>
    <t>Muutos</t>
  </si>
  <si>
    <t>Viljelykasvi, jolle laskelma tehdään</t>
  </si>
  <si>
    <t>Viljelyalaan kirjataan</t>
  </si>
  <si>
    <t>Huomioita</t>
  </si>
  <si>
    <t>2. Omat ja vuokratut pellot (pellon kustannuksen laskentaan)</t>
  </si>
  <si>
    <t>Syötä omat luvut sinisellä fontilla oleviin soluihin! Tämän sivun alaosasta löytyy toteutuneuta pellon kauppahintoja ja vuokrahintoja maakunnittain.</t>
  </si>
  <si>
    <t>Pellosta aiheutuvassa pääomakustannuksessa huomioidaan omistuksessa olevat hehtaarit</t>
  </si>
  <si>
    <t>Vuokrakustannuksessa huomioidaan vuokratut hehtaarit</t>
  </si>
  <si>
    <t>Sopimusaloista ei aiheudu  "peltokustannusta"</t>
  </si>
  <si>
    <t>Vuokrahinnat</t>
  </si>
  <si>
    <t>Keskimäärin nautatiloilla</t>
  </si>
  <si>
    <t>Kauppahinnat 2015-2017</t>
  </si>
  <si>
    <t>Toteutuneet pellon kauppahinnat 2015 - 2017 ja toteutuneet keskivuokrat 2017</t>
  </si>
  <si>
    <t>Vuokrapeltojen keskimääräinen vuokrahinta</t>
  </si>
  <si>
    <t>1. Laskelman kasvin viljelyala omassa viljelyssä sekä sopimuspellot, joilta korjataan sato</t>
  </si>
  <si>
    <t>Ympäristökorvaus, lietteen multaus (max 60 %:lle alasta)</t>
  </si>
  <si>
    <t>Ympäristökorvaus, talviaikainen kasvipeitteisyys 80 %</t>
  </si>
  <si>
    <t>Ympäristökorvaus, muu toimenpide</t>
  </si>
  <si>
    <t>Kansallinen pohj.  nuoren viljelijän tuki (C-alue)</t>
  </si>
  <si>
    <t>EU:n nuor. vilj. tuki  (90 ensimm. hehtaarille)</t>
  </si>
  <si>
    <t>Peltotuet vuodessa yhteensä</t>
  </si>
  <si>
    <t>Tukitaulukko</t>
  </si>
  <si>
    <t>Omat ja vuokratut pellot</t>
  </si>
  <si>
    <t>Vaihtoehto A:</t>
  </si>
  <si>
    <t xml:space="preserve">Tärkeintä on, että saadaan tilan peltotukien kokonaismäärä / kokonaisviljelyalalla oikein laskelmaan. </t>
  </si>
  <si>
    <t>Tähän on pari käypää vaihtoehtoa</t>
  </si>
  <si>
    <t xml:space="preserve">Valitse pudotusvalikosta tukialue. </t>
  </si>
  <si>
    <t>Syötä hehtaari sarakkeeseen kunkin tuen osalta kuinka monelle hehtaarille saat kyseistä tukea.</t>
  </si>
  <si>
    <t>Tee tarvittavat säädöt myös €/ha sarakkeeseen (esim. jos käytössä muita ympäristökorvauksen toimenpiteitä).</t>
  </si>
  <si>
    <t>Saat näin laskettua riittävällä tarkkuudella peltotukien kokonaismäärän.</t>
  </si>
  <si>
    <t>Ojituksen ja teiden kunnossapito</t>
  </si>
  <si>
    <t>yksikkö</t>
  </si>
  <si>
    <t>€/yksikkö</t>
  </si>
  <si>
    <t>h</t>
  </si>
  <si>
    <r>
      <t>m</t>
    </r>
    <r>
      <rPr>
        <vertAlign val="superscript"/>
        <sz val="11"/>
        <color rgb="FF0000FF"/>
        <rFont val="Calibri"/>
        <family val="2"/>
        <scheme val="minor"/>
      </rPr>
      <t>3</t>
    </r>
  </si>
  <si>
    <t>http://www.tts.fi/tutkimus_kehitys/hankkeet/maataloushankkeet/koneurakointi/konetyon_kustannukset_ja_tilastolliset_urakointihinnat</t>
  </si>
  <si>
    <t>Pellot luomussa</t>
  </si>
  <si>
    <t>Eläimet luomussa</t>
  </si>
  <si>
    <t>Ei luomussa</t>
  </si>
  <si>
    <t>Onko tuotanto luomussa</t>
  </si>
  <si>
    <t>Muuttuvat viljelykustannukset</t>
  </si>
  <si>
    <t>Muu
käyttö</t>
  </si>
  <si>
    <t>Koneen poisto ja korko vuodessa ja niiden jakautuminen</t>
  </si>
  <si>
    <t>Muu käyttö</t>
  </si>
  <si>
    <t>Kirjalliset työt</t>
  </si>
  <si>
    <t>- viljelysuunnitteluun käytetty aika, myös lähtötietojen anto asiantuntija-avustajalle</t>
  </si>
  <si>
    <t>- viljelymuistiinpanojen ja tukivalvontaa varten tehtäviin töihin käytetty aika</t>
  </si>
  <si>
    <t>- viljelypanosten kilpailutus ja ostot</t>
  </si>
  <si>
    <t>Työmenekin arviointia</t>
  </si>
  <si>
    <t>Henkilöä
/pv</t>
  </si>
  <si>
    <t>Työpäivän
pituus, h</t>
  </si>
  <si>
    <t>Tuntia, yht</t>
  </si>
  <si>
    <t>Työpäivää
vuodessa</t>
  </si>
  <si>
    <t>Yhteenveto sitoutuneesta pääomasta</t>
  </si>
  <si>
    <t>Pelto</t>
  </si>
  <si>
    <t>Koneet</t>
  </si>
  <si>
    <t>Salaojat</t>
  </si>
  <si>
    <t>Käyttöpääoma</t>
  </si>
  <si>
    <t>Muu toiminta</t>
  </si>
  <si>
    <t>Salaojituksen kustannus keskimäärin</t>
  </si>
  <si>
    <t>Investointiavustus</t>
  </si>
  <si>
    <t>Kustannus avustuksen jälkeen</t>
  </si>
  <si>
    <t>Käyttöaika</t>
  </si>
  <si>
    <t>v</t>
  </si>
  <si>
    <t>Omaisuuslaji</t>
  </si>
  <si>
    <t>Viljelyssä</t>
  </si>
  <si>
    <t>Rakennukset ja salaojat</t>
  </si>
  <si>
    <t>Salaojituksen kustannus avustuksen jälkeen</t>
  </si>
  <si>
    <t>Rakennukset ja salaojat (poisto, korko, kunnossapit0)</t>
  </si>
  <si>
    <t>Ja omaa työtä</t>
  </si>
  <si>
    <t>Varasto</t>
  </si>
  <si>
    <t>Pituus, m</t>
  </si>
  <si>
    <t>Leveys, m</t>
  </si>
  <si>
    <t>Korkeus, m</t>
  </si>
  <si>
    <t>Varasto 1</t>
  </si>
  <si>
    <t>Varasto 2</t>
  </si>
  <si>
    <t>Varasto 3</t>
  </si>
  <si>
    <t>Varasto 4</t>
  </si>
  <si>
    <t>Varasto 5</t>
  </si>
  <si>
    <t>tuntia</t>
  </si>
  <si>
    <t>Työmenekki hehtaaria kohden</t>
  </si>
  <si>
    <t>Viljelyala</t>
  </si>
  <si>
    <t>tuntia/ha</t>
  </si>
  <si>
    <t>(vanhat salaojat on peltojen ostohinnassa mukana)</t>
  </si>
  <si>
    <t>Jotka omistaja on tehnyt itse oman yrittäjyyden aikana</t>
  </si>
  <si>
    <t>Työvaiheet</t>
  </si>
  <si>
    <t>Salaojitettua peltoa</t>
  </si>
  <si>
    <t>Tehdyt salaojitukset oman yrittäjyyden aikana (sekä omat että vuokrapellot)</t>
  </si>
  <si>
    <t>Keskimäärin vuoden aikana</t>
  </si>
  <si>
    <t>Sitoutunut pääoma viljelyhehtaaria kohden, €/ha</t>
  </si>
  <si>
    <t>Sitotunut pääoma yhteensä, €</t>
  </si>
  <si>
    <t>Josta ostettavaa työtä (maksetaan palkka tilan ulkopuoliselle työntekijälle)</t>
  </si>
  <si>
    <t>Työmenekki</t>
  </si>
  <si>
    <t>h/ha</t>
  </si>
  <si>
    <t>Sitoutunut pääoma</t>
  </si>
  <si>
    <t>josta koneisiin</t>
  </si>
  <si>
    <t>Hankinnasta vuotta</t>
  </si>
  <si>
    <t>Korko pääomalle, €</t>
  </si>
  <si>
    <t>Salaojituksesta vuotta keskimäärin</t>
  </si>
  <si>
    <t>Koneiden nykyarvo</t>
  </si>
  <si>
    <t>Rakennusten nykyarvo</t>
  </si>
  <si>
    <t>Salaojituksen nykyarvo</t>
  </si>
  <si>
    <t>Lannoite 3</t>
  </si>
  <si>
    <t>Syötä omat luvut sinisellä fontilla oleviin soluihin!</t>
  </si>
  <si>
    <t>Käyttö-
aika yht, vuotta</t>
  </si>
  <si>
    <t>Huom! Jos tähän tulee pieni luku, niin tarkista, oletko syöttänyt koneiden käyttöajan oikein Koneet-välilehdelle.</t>
  </si>
  <si>
    <t>Vuokra- ja leasingkoneet</t>
  </si>
  <si>
    <t>3. Salaojitukset</t>
  </si>
  <si>
    <t>Etsi VIPU-palvelusta peltotukien HAETTU kokonaismäärä</t>
  </si>
  <si>
    <t>Vaihtoehto B:</t>
  </si>
  <si>
    <t>Tuet yhteensä</t>
  </si>
  <si>
    <t>Ohra</t>
  </si>
  <si>
    <t>Kaura</t>
  </si>
  <si>
    <t>Vehnä</t>
  </si>
  <si>
    <t>Herne</t>
  </si>
  <si>
    <t>Härkäpapu</t>
  </si>
  <si>
    <t>Rypsi / rapsi</t>
  </si>
  <si>
    <t>Sadon käsittely</t>
  </si>
  <si>
    <t>Kuivaus</t>
  </si>
  <si>
    <t>Tuoresäilöntä</t>
  </si>
  <si>
    <t>Kasvinviljely</t>
  </si>
  <si>
    <t>Siipikarja</t>
  </si>
  <si>
    <t>Sika</t>
  </si>
  <si>
    <t>Mikäli haluat tehdä laskelman keskimäärin tilan kaikille viljalajeille, valitse viljelykasviksi "Vilja"</t>
  </si>
  <si>
    <t xml:space="preserve">Kirjaa tähän sellainen ala, joka ei ole omassa tukihakemuksessa, </t>
  </si>
  <si>
    <t>mutta jossa viljellään kyseistä kasvia ja korjataan sato</t>
  </si>
  <si>
    <t>Peltokasvipalkkio</t>
  </si>
  <si>
    <t>Pohjoinen hehtaarituki (C-alue)</t>
  </si>
  <si>
    <t>Yleinen ha tuki (C2-alue)</t>
  </si>
  <si>
    <t>Äes 2</t>
  </si>
  <si>
    <t>Kevytmuokkain</t>
  </si>
  <si>
    <t>Peräkärry 2</t>
  </si>
  <si>
    <t>Peräkärry 3</t>
  </si>
  <si>
    <t>Peräkärry 1</t>
  </si>
  <si>
    <t>Peittauslaitteisto</t>
  </si>
  <si>
    <t>Lajittelija</t>
  </si>
  <si>
    <t>Puimuri</t>
  </si>
  <si>
    <t>Kivenkeruukone</t>
  </si>
  <si>
    <t>Sähköviska</t>
  </si>
  <si>
    <t>Rikkahara</t>
  </si>
  <si>
    <t>Vanha kuivaamo</t>
  </si>
  <si>
    <t>Uusi kuivaamo</t>
  </si>
  <si>
    <t>Viljasiilot</t>
  </si>
  <si>
    <t>Ruiskutukset</t>
  </si>
  <si>
    <t>Hukkakauran etsiminen</t>
  </si>
  <si>
    <t>Kuivaajien siivous</t>
  </si>
  <si>
    <t>Puinti</t>
  </si>
  <si>
    <t>Viljan kuivaus</t>
  </si>
  <si>
    <t>Viljan lastaus</t>
  </si>
  <si>
    <t>Kyntö</t>
  </si>
  <si>
    <t>Kylvösiemenen kunnostus</t>
  </si>
  <si>
    <t>Kasvustojen ja peltojen kunnon havainnointi</t>
  </si>
  <si>
    <t>Viljan siirto pellolta talouskeskukseen</t>
  </si>
  <si>
    <t>Kyntö tai kevytmuokkaus</t>
  </si>
  <si>
    <t>Toukotyöt kaikkine työvaiheineen</t>
  </si>
  <si>
    <t>Pientareiden niitto</t>
  </si>
  <si>
    <t>Kivien keruu</t>
  </si>
  <si>
    <t>Ojien ja teiden kunnossapito</t>
  </si>
  <si>
    <t>Sadon määrä yhteensä, kg</t>
  </si>
  <si>
    <t>Peittausaineet</t>
  </si>
  <si>
    <t>Rikkakasvien torjunta-aine</t>
  </si>
  <si>
    <t>Kasvitautien torjunta-aine</t>
  </si>
  <si>
    <t>Tuholaisten torjunta-aine</t>
  </si>
  <si>
    <t>Laontorjunta-aine</t>
  </si>
  <si>
    <t>Lehtilannoite</t>
  </si>
  <si>
    <t>Säilöntäaine tuoresäilönnässä</t>
  </si>
  <si>
    <t>Kuivauspalvelu (esim. yhteiskuivurista tai ostopalvelusta)</t>
  </si>
  <si>
    <t>Poltto- ja voiteluaineet</t>
  </si>
  <si>
    <t>Muokkaus</t>
  </si>
  <si>
    <t>Kylvö</t>
  </si>
  <si>
    <t>Peltojen lanaus</t>
  </si>
  <si>
    <t>Lannoitteen levitys</t>
  </si>
  <si>
    <t>€/tn</t>
  </si>
  <si>
    <t>4. Tukien laskenta</t>
  </si>
  <si>
    <t>Varasto 11</t>
  </si>
  <si>
    <t>Varasto 12</t>
  </si>
  <si>
    <t>Varasto 13</t>
  </si>
  <si>
    <t>Varasto 14</t>
  </si>
  <si>
    <t>Varasto 15</t>
  </si>
  <si>
    <r>
      <t>Kuutiot, m</t>
    </r>
    <r>
      <rPr>
        <b/>
        <vertAlign val="superscript"/>
        <sz val="11"/>
        <color theme="1"/>
        <rFont val="Calibri"/>
        <family val="2"/>
        <scheme val="minor"/>
      </rPr>
      <t>3</t>
    </r>
  </si>
  <si>
    <t>Pääasiallinen sadonkäsittely</t>
  </si>
  <si>
    <t>Syötä tukien kokonaismäärä suoraan soluun E:58</t>
  </si>
  <si>
    <t>Salaojituksen kustannuksen laskennassa</t>
  </si>
  <si>
    <t>Kirjaa salaojitukset, jotka omistaja on tehnyt itse oman yrittäjyyden aikana</t>
  </si>
  <si>
    <t>Vinkki! Jos kotieläintila laskee oman viljan tuotantokustannusta ja jos vilja murskesäilötään, niin älä kirjaa myllystä aiheutuvaa kulua tähän. Saat vertailukelpoisen tuotantokustannuksen ostoviljaan verrattuna.</t>
  </si>
  <si>
    <t>Vinkki! Jos kotieläintila laskee oman viljan tuotantokustannusta</t>
  </si>
  <si>
    <t xml:space="preserve">ja jos vilja murskesäilötään, niin älä kirjaa viljan jauhamisesta aiheutuvaa työmenekkiä tähän. </t>
  </si>
  <si>
    <t>Näin saat vertailukelpoisen tuotantokustannuksen ostoviljaan verrattuna.</t>
  </si>
  <si>
    <t>Hehto
litraa</t>
  </si>
  <si>
    <t>Hehto
paino, kg/hl</t>
  </si>
  <si>
    <t>Kosteus %</t>
  </si>
  <si>
    <t>Sadon tavoite-kosteus</t>
  </si>
  <si>
    <t>Kilot tavoite-kosteudessa</t>
  </si>
  <si>
    <t>Halkaisija, m</t>
  </si>
  <si>
    <t>Lieriön malliset siilot</t>
  </si>
  <si>
    <t>Varaston kilot</t>
  </si>
  <si>
    <t>Säde,
m</t>
  </si>
  <si>
    <t>Tehty erillinen kasvinviljelyn tuotantokustannuslaskelma</t>
  </si>
  <si>
    <t>Sadon kosteus (varastossa) keskimäärin</t>
  </si>
  <si>
    <t>Sadon tavoitekosteus (muutetaan sato samaan kosteuteen, jotta voidaan vertailla)</t>
  </si>
  <si>
    <t>Nämä siirtyy laskelma-välilehdelle</t>
  </si>
  <si>
    <t>Korko, €/ha</t>
  </si>
  <si>
    <t>Korko,€/tn</t>
  </si>
  <si>
    <t>€/vuosi</t>
  </si>
  <si>
    <t>Muutettu välilehtien numerointia ja tehty joitakin muutoksia mm. sadon määrä -välilehdelle.</t>
  </si>
  <si>
    <t>Lisätty Pääoma-välilehdelle laskenta, kuinka paljon sitoutuneesta pääomasta aiheutuu korkokulua hehtaaria ja tuotettua viljatonnia kohden.</t>
  </si>
  <si>
    <t>Satovarastojen arviointia</t>
  </si>
  <si>
    <t>Hehtaaria kohti</t>
  </si>
  <si>
    <t>Varaston mitat</t>
  </si>
  <si>
    <t>Peräkärry 4</t>
  </si>
  <si>
    <t>Peräkärry 5</t>
  </si>
  <si>
    <t xml:space="preserve"> </t>
  </si>
  <si>
    <t>Tällä taulukolla voi laskea urakointikustannuksen työvaiheittain laskettavan kasvin osalta.</t>
  </si>
  <si>
    <t>Vaihtoehtoisesti urakointikustannuksen voi syöttää riville yhteensä, jos se on valmiiksi laskettuna laskettavan kasvin osalta.</t>
  </si>
  <si>
    <t>Mikäli urakointipalveluja ei käytetä, tämän taulukon voi jättää tyhjäksi.</t>
  </si>
  <si>
    <t>Viljelytöiden johtaminen, palkatun työvoiman tai urakoitsijan työnjohtoon käytettävä aika peltotöiden osalta</t>
  </si>
  <si>
    <t>Kirjalliset työt, kuten:</t>
  </si>
  <si>
    <t>kirjoita tähän sähköpostiosoite, johon yhteenveto vertailutiedoista lähetetään</t>
  </si>
  <si>
    <t>Emolehmä</t>
  </si>
  <si>
    <t>https://www.lyyti.fi/reg/tuotantokustannustiedot</t>
  </si>
  <si>
    <t>Näin paljon tuotantoon sitoutuneesta pääomasta aiheutuu laskennallista korkokulua tuotettua satotonnia kohden.</t>
  </si>
  <si>
    <t>Näin teet viljan tuotantokustannuslaskelman</t>
  </si>
  <si>
    <t>Saatteeksi ja kiitokset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</si>
</sst>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
    <numFmt numFmtId="166" formatCode="#,##0.0"/>
    <numFmt numFmtId="167" formatCode="#,##0.00000"/>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color indexed="12"/>
      <name val="Calibri"/>
      <family val="2"/>
      <scheme val="minor"/>
    </font>
    <font>
      <b/>
      <sz val="14"/>
      <color theme="1"/>
      <name val="Calibri"/>
      <family val="2"/>
      <scheme val="minor"/>
    </font>
    <font>
      <b/>
      <sz val="9"/>
      <color indexed="81"/>
      <name val="Tahoma"/>
      <family val="2"/>
    </font>
    <font>
      <sz val="9"/>
      <color indexed="81"/>
      <name val="Tahoma"/>
      <family val="2"/>
    </font>
    <font>
      <sz val="11"/>
      <color rgb="FFFF0000"/>
      <name val="Calibri"/>
      <family val="2"/>
      <scheme val="minor"/>
    </font>
    <font>
      <b/>
      <sz val="16"/>
      <color theme="1"/>
      <name val="Calibri"/>
      <family val="2"/>
      <scheme val="minor"/>
    </font>
    <font>
      <sz val="11"/>
      <color rgb="FF0000FF"/>
      <name val="Calibri"/>
      <family val="2"/>
      <scheme val="minor"/>
    </font>
    <font>
      <b/>
      <sz val="11"/>
      <color rgb="FF0000FF"/>
      <name val="Calibri"/>
      <family val="2"/>
      <scheme val="minor"/>
    </font>
    <font>
      <b/>
      <sz val="11"/>
      <color rgb="FFFF0000"/>
      <name val="Calibri"/>
      <family val="2"/>
      <scheme val="minor"/>
    </font>
    <font>
      <u/>
      <sz val="11"/>
      <color theme="10"/>
      <name val="Calibri"/>
      <family val="2"/>
      <scheme val="minor"/>
    </font>
    <font>
      <sz val="11"/>
      <color indexed="8"/>
      <name val="Calibri"/>
      <family val="2"/>
      <scheme val="minor"/>
    </font>
    <font>
      <b/>
      <sz val="14"/>
      <color rgb="FFFF0000"/>
      <name val="Calibri"/>
      <family val="2"/>
      <scheme val="minor"/>
    </font>
    <font>
      <sz val="11"/>
      <color theme="0"/>
      <name val="Calibri"/>
      <family val="2"/>
      <scheme val="minor"/>
    </font>
    <font>
      <sz val="11"/>
      <color theme="0" tint="-0.499984740745262"/>
      <name val="Calibri"/>
      <family val="2"/>
      <scheme val="minor"/>
    </font>
    <font>
      <b/>
      <sz val="12"/>
      <color theme="1"/>
      <name val="Calibri"/>
      <family val="2"/>
      <scheme val="minor"/>
    </font>
    <font>
      <b/>
      <sz val="11"/>
      <color theme="0" tint="-0.499984740745262"/>
      <name val="Calibri"/>
      <family val="2"/>
      <scheme val="minor"/>
    </font>
    <font>
      <sz val="11"/>
      <color rgb="FF333333"/>
      <name val="Arial"/>
      <family val="2"/>
    </font>
    <font>
      <b/>
      <sz val="14"/>
      <name val="Calibri"/>
      <family val="2"/>
      <scheme val="minor"/>
    </font>
    <font>
      <vertAlign val="superscript"/>
      <sz val="11"/>
      <color rgb="FF0000FF"/>
      <name val="Calibri"/>
      <family val="2"/>
      <scheme val="minor"/>
    </font>
    <font>
      <b/>
      <vertAlign val="superscript"/>
      <sz val="11"/>
      <color theme="1"/>
      <name val="Calibri"/>
      <family val="2"/>
      <scheme val="minor"/>
    </font>
    <font>
      <b/>
      <sz val="11"/>
      <color theme="0"/>
      <name val="Calibri"/>
      <family val="2"/>
      <scheme val="minor"/>
    </font>
    <font>
      <b/>
      <sz val="11"/>
      <color theme="1" tint="0.499984740745262"/>
      <name val="Calibri"/>
      <family val="2"/>
      <scheme val="minor"/>
    </font>
    <font>
      <sz val="11"/>
      <color theme="0" tint="-0.14999847407452621"/>
      <name val="Calibri"/>
      <family val="2"/>
      <scheme val="minor"/>
    </font>
    <font>
      <sz val="8"/>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10">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0" fontId="14" fillId="0" borderId="0" applyNumberFormat="0" applyFill="0" applyBorder="0" applyAlignment="0" applyProtection="0"/>
    <xf numFmtId="0" fontId="15" fillId="0" borderId="0"/>
  </cellStyleXfs>
  <cellXfs count="283">
    <xf numFmtId="0" fontId="0" fillId="0" borderId="0" xfId="0"/>
    <xf numFmtId="0" fontId="2" fillId="0" borderId="0" xfId="0" applyFont="1" applyBorder="1"/>
    <xf numFmtId="0" fontId="0" fillId="0" borderId="0" xfId="0" applyFont="1" applyBorder="1"/>
    <xf numFmtId="0" fontId="2" fillId="0" borderId="1" xfId="0" applyFont="1" applyBorder="1"/>
    <xf numFmtId="0" fontId="2" fillId="0" borderId="0" xfId="0" applyFont="1"/>
    <xf numFmtId="0" fontId="6" fillId="0" borderId="0" xfId="0" applyFont="1"/>
    <xf numFmtId="0" fontId="0" fillId="0" borderId="1" xfId="0" applyBorder="1"/>
    <xf numFmtId="164" fontId="4" fillId="0" borderId="0" xfId="0" applyNumberFormat="1" applyFont="1" applyBorder="1"/>
    <xf numFmtId="1" fontId="0" fillId="0" borderId="0" xfId="0" applyNumberFormat="1"/>
    <xf numFmtId="164" fontId="0" fillId="0" borderId="0" xfId="0" applyNumberFormat="1"/>
    <xf numFmtId="1" fontId="0" fillId="0" borderId="1" xfId="0" applyNumberFormat="1" applyBorder="1"/>
    <xf numFmtId="0" fontId="0" fillId="0" borderId="0" xfId="0" applyBorder="1"/>
    <xf numFmtId="1" fontId="0" fillId="0" borderId="0" xfId="0" applyNumberFormat="1" applyBorder="1"/>
    <xf numFmtId="1" fontId="2" fillId="0" borderId="0" xfId="0" applyNumberFormat="1" applyFont="1" applyBorder="1"/>
    <xf numFmtId="3" fontId="0" fillId="0" borderId="0" xfId="0" applyNumberFormat="1"/>
    <xf numFmtId="0" fontId="4" fillId="0" borderId="0" xfId="0" applyFont="1" applyBorder="1"/>
    <xf numFmtId="0" fontId="4" fillId="0" borderId="0" xfId="0" applyFont="1"/>
    <xf numFmtId="2" fontId="4" fillId="0" borderId="0" xfId="0" applyNumberFormat="1" applyFont="1"/>
    <xf numFmtId="3" fontId="4" fillId="0" borderId="0" xfId="0" applyNumberFormat="1" applyFont="1"/>
    <xf numFmtId="3" fontId="0" fillId="0" borderId="1" xfId="0" applyNumberFormat="1" applyBorder="1"/>
    <xf numFmtId="0" fontId="0" fillId="0" borderId="0" xfId="0" applyFill="1" applyBorder="1"/>
    <xf numFmtId="3" fontId="9" fillId="0" borderId="0" xfId="0" applyNumberFormat="1" applyFont="1" applyBorder="1"/>
    <xf numFmtId="0" fontId="2" fillId="0" borderId="1" xfId="0" applyFont="1" applyBorder="1" applyAlignment="1">
      <alignment horizontal="center"/>
    </xf>
    <xf numFmtId="0" fontId="10" fillId="0" borderId="0" xfId="0" applyFont="1"/>
    <xf numFmtId="0" fontId="0" fillId="0" borderId="0" xfId="0" applyFont="1"/>
    <xf numFmtId="3" fontId="4" fillId="0" borderId="0" xfId="0" applyNumberFormat="1" applyFont="1" applyBorder="1"/>
    <xf numFmtId="0" fontId="3" fillId="0" borderId="0" xfId="0" applyFont="1" applyBorder="1"/>
    <xf numFmtId="0" fontId="0" fillId="0" borderId="0" xfId="0" applyAlignment="1">
      <alignment horizontal="center"/>
    </xf>
    <xf numFmtId="0" fontId="9" fillId="0" borderId="0" xfId="0" applyFont="1"/>
    <xf numFmtId="0" fontId="0" fillId="0" borderId="1" xfId="0" applyBorder="1" applyAlignment="1">
      <alignment horizontal="center"/>
    </xf>
    <xf numFmtId="0" fontId="0" fillId="0" borderId="0" xfId="0" applyBorder="1" applyAlignment="1">
      <alignment horizontal="center"/>
    </xf>
    <xf numFmtId="0" fontId="0" fillId="0" borderId="0" xfId="0" applyAlignment="1">
      <alignment horizontal="left" indent="2"/>
    </xf>
    <xf numFmtId="0" fontId="0" fillId="0" borderId="0" xfId="0" applyFont="1" applyBorder="1" applyAlignment="1">
      <alignment horizontal="center"/>
    </xf>
    <xf numFmtId="0" fontId="3" fillId="2" borderId="1" xfId="0" applyFont="1" applyFill="1" applyBorder="1"/>
    <xf numFmtId="0" fontId="2" fillId="2" borderId="1" xfId="0" applyFont="1" applyFill="1" applyBorder="1"/>
    <xf numFmtId="0" fontId="2" fillId="2" borderId="1" xfId="0" applyFont="1" applyFill="1" applyBorder="1" applyAlignment="1">
      <alignment horizontal="center"/>
    </xf>
    <xf numFmtId="0" fontId="0" fillId="2" borderId="1" xfId="0" applyFill="1" applyBorder="1"/>
    <xf numFmtId="3" fontId="11" fillId="0" borderId="0" xfId="0" applyNumberFormat="1" applyFont="1"/>
    <xf numFmtId="3" fontId="11" fillId="0" borderId="1" xfId="0" applyNumberFormat="1" applyFont="1" applyBorder="1"/>
    <xf numFmtId="3" fontId="2" fillId="0" borderId="0" xfId="0" applyNumberFormat="1" applyFont="1"/>
    <xf numFmtId="165" fontId="12" fillId="0" borderId="0" xfId="1" applyNumberFormat="1" applyFont="1"/>
    <xf numFmtId="0" fontId="2" fillId="0" borderId="0" xfId="0" applyFont="1" applyFill="1" applyBorder="1"/>
    <xf numFmtId="0" fontId="0" fillId="0" borderId="0" xfId="0" applyAlignment="1">
      <alignment horizontal="right"/>
    </xf>
    <xf numFmtId="1" fontId="2" fillId="2" borderId="1" xfId="0" applyNumberFormat="1" applyFont="1" applyFill="1" applyBorder="1" applyAlignment="1">
      <alignment horizontal="center"/>
    </xf>
    <xf numFmtId="0" fontId="3" fillId="2" borderId="1" xfId="0" applyFont="1" applyFill="1" applyBorder="1" applyAlignment="1">
      <alignment horizontal="center"/>
    </xf>
    <xf numFmtId="3" fontId="0" fillId="0" borderId="0" xfId="0" applyNumberFormat="1" applyBorder="1"/>
    <xf numFmtId="3" fontId="2" fillId="0" borderId="0" xfId="0" applyNumberFormat="1" applyFont="1" applyBorder="1"/>
    <xf numFmtId="164" fontId="4" fillId="0" borderId="0" xfId="0" applyNumberFormat="1" applyFont="1"/>
    <xf numFmtId="1" fontId="4" fillId="0" borderId="0" xfId="0" applyNumberFormat="1" applyFont="1"/>
    <xf numFmtId="0" fontId="4" fillId="0" borderId="0" xfId="0" applyFont="1" applyFill="1" applyBorder="1"/>
    <xf numFmtId="1" fontId="4" fillId="0" borderId="1" xfId="0" applyNumberFormat="1" applyFont="1" applyBorder="1"/>
    <xf numFmtId="9" fontId="4" fillId="0" borderId="1" xfId="1" applyFont="1" applyBorder="1"/>
    <xf numFmtId="0" fontId="4" fillId="0" borderId="1" xfId="0" applyFont="1" applyBorder="1"/>
    <xf numFmtId="0" fontId="2" fillId="2" borderId="0" xfId="0" applyFont="1" applyFill="1"/>
    <xf numFmtId="3" fontId="2" fillId="2" borderId="0" xfId="0" applyNumberFormat="1" applyFont="1" applyFill="1"/>
    <xf numFmtId="0" fontId="14" fillId="0" borderId="0" xfId="2"/>
    <xf numFmtId="0" fontId="2" fillId="0" borderId="1" xfId="0" applyFont="1" applyFill="1" applyBorder="1" applyAlignment="1">
      <alignment wrapText="1"/>
    </xf>
    <xf numFmtId="0" fontId="2" fillId="0" borderId="1" xfId="0" applyFont="1" applyBorder="1" applyAlignment="1">
      <alignment horizontal="center"/>
    </xf>
    <xf numFmtId="3" fontId="13" fillId="0" borderId="0" xfId="0" applyNumberFormat="1" applyFont="1"/>
    <xf numFmtId="0" fontId="9" fillId="0" borderId="0" xfId="0" applyFont="1" applyFill="1" applyBorder="1"/>
    <xf numFmtId="0" fontId="9" fillId="0" borderId="0" xfId="0" applyFont="1" applyAlignment="1">
      <alignment horizontal="center"/>
    </xf>
    <xf numFmtId="0" fontId="0" fillId="0" borderId="0" xfId="0" applyAlignment="1"/>
    <xf numFmtId="0" fontId="2" fillId="0" borderId="0" xfId="0" applyFont="1" applyAlignment="1"/>
    <xf numFmtId="0" fontId="2" fillId="0" borderId="1" xfId="0" applyFont="1" applyBorder="1" applyAlignment="1"/>
    <xf numFmtId="3" fontId="0" fillId="0" borderId="0" xfId="0" applyNumberFormat="1" applyAlignment="1"/>
    <xf numFmtId="3" fontId="0" fillId="0" borderId="1" xfId="0" applyNumberFormat="1" applyBorder="1" applyAlignment="1"/>
    <xf numFmtId="0" fontId="14" fillId="0" borderId="0" xfId="2" applyAlignment="1"/>
    <xf numFmtId="0" fontId="0" fillId="2" borderId="0" xfId="0" applyFill="1"/>
    <xf numFmtId="0" fontId="2" fillId="2" borderId="1" xfId="0" applyFont="1" applyFill="1" applyBorder="1" applyAlignment="1">
      <alignment wrapText="1"/>
    </xf>
    <xf numFmtId="0" fontId="16" fillId="0" borderId="0" xfId="0" applyFont="1"/>
    <xf numFmtId="165" fontId="0" fillId="0" borderId="0" xfId="1" applyNumberFormat="1" applyFont="1"/>
    <xf numFmtId="0" fontId="18" fillId="0" borderId="0" xfId="0" applyFont="1"/>
    <xf numFmtId="3" fontId="9" fillId="0" borderId="0" xfId="0" applyNumberFormat="1" applyFont="1"/>
    <xf numFmtId="0" fontId="0" fillId="0" borderId="0" xfId="0" applyFill="1"/>
    <xf numFmtId="2" fontId="0" fillId="0" borderId="0" xfId="0" applyNumberFormat="1"/>
    <xf numFmtId="0" fontId="4" fillId="0" borderId="0" xfId="0" applyFont="1" applyBorder="1" applyAlignment="1">
      <alignment horizontal="left"/>
    </xf>
    <xf numFmtId="4" fontId="4" fillId="0" borderId="0" xfId="0" applyNumberFormat="1" applyFont="1" applyBorder="1"/>
    <xf numFmtId="4" fontId="3" fillId="0" borderId="0" xfId="0" applyNumberFormat="1" applyFont="1" applyBorder="1"/>
    <xf numFmtId="0" fontId="4" fillId="0" borderId="0" xfId="0" applyFont="1" applyBorder="1" applyAlignment="1">
      <alignment horizontal="right"/>
    </xf>
    <xf numFmtId="0" fontId="3" fillId="0" borderId="0" xfId="0" applyFont="1" applyBorder="1" applyAlignment="1">
      <alignment horizontal="right"/>
    </xf>
    <xf numFmtId="0" fontId="11" fillId="0" borderId="0" xfId="0" applyFont="1" applyBorder="1" applyAlignment="1">
      <alignment horizontal="right"/>
    </xf>
    <xf numFmtId="4" fontId="4" fillId="0" borderId="0" xfId="0" applyNumberFormat="1" applyFont="1"/>
    <xf numFmtId="3" fontId="20" fillId="0" borderId="0" xfId="0" applyNumberFormat="1" applyFont="1"/>
    <xf numFmtId="3" fontId="18" fillId="0" borderId="0" xfId="0" applyNumberFormat="1" applyFont="1"/>
    <xf numFmtId="0" fontId="20" fillId="0" borderId="0" xfId="0" applyFont="1"/>
    <xf numFmtId="0" fontId="17" fillId="0" borderId="0" xfId="0" applyFont="1"/>
    <xf numFmtId="0" fontId="19" fillId="0" borderId="1" xfId="0" applyFont="1" applyBorder="1"/>
    <xf numFmtId="165" fontId="4" fillId="0" borderId="0" xfId="0" applyNumberFormat="1" applyFont="1"/>
    <xf numFmtId="0" fontId="0" fillId="0" borderId="0" xfId="0" applyFont="1" applyFill="1" applyBorder="1"/>
    <xf numFmtId="0" fontId="2" fillId="0" borderId="0" xfId="0" applyFont="1" applyAlignment="1">
      <alignment horizontal="left"/>
    </xf>
    <xf numFmtId="0" fontId="18" fillId="0" borderId="0" xfId="0" applyFont="1" applyFill="1" applyBorder="1"/>
    <xf numFmtId="0" fontId="18" fillId="0" borderId="0" xfId="0" applyFont="1" applyBorder="1"/>
    <xf numFmtId="3" fontId="18" fillId="0" borderId="0" xfId="0" applyNumberFormat="1" applyFont="1" applyBorder="1"/>
    <xf numFmtId="2" fontId="4" fillId="0" borderId="0" xfId="0" applyNumberFormat="1" applyFont="1" applyBorder="1"/>
    <xf numFmtId="2" fontId="4" fillId="0" borderId="1" xfId="0" applyNumberFormat="1" applyFont="1" applyBorder="1"/>
    <xf numFmtId="1" fontId="4" fillId="0" borderId="0" xfId="0" applyNumberFormat="1" applyFont="1" applyBorder="1"/>
    <xf numFmtId="1" fontId="18" fillId="0" borderId="0" xfId="0" applyNumberFormat="1" applyFont="1"/>
    <xf numFmtId="0" fontId="21" fillId="0" borderId="0" xfId="0" applyFont="1"/>
    <xf numFmtId="9" fontId="18" fillId="0" borderId="0" xfId="1" applyFont="1"/>
    <xf numFmtId="0" fontId="4" fillId="0" borderId="0" xfId="0" quotePrefix="1" applyFont="1" applyFill="1" applyBorder="1"/>
    <xf numFmtId="0" fontId="3" fillId="0" borderId="0" xfId="0" applyFont="1" applyFill="1" applyBorder="1"/>
    <xf numFmtId="0" fontId="3" fillId="0" borderId="0" xfId="0" applyFont="1"/>
    <xf numFmtId="3" fontId="3" fillId="0" borderId="0" xfId="0" applyNumberFormat="1" applyFont="1" applyBorder="1"/>
    <xf numFmtId="0" fontId="3" fillId="2" borderId="1" xfId="0" applyFont="1" applyFill="1" applyBorder="1" applyAlignment="1"/>
    <xf numFmtId="9" fontId="18" fillId="0" borderId="0" xfId="1" applyFont="1" applyBorder="1"/>
    <xf numFmtId="0" fontId="0" fillId="0" borderId="7" xfId="0" applyBorder="1" applyAlignment="1"/>
    <xf numFmtId="0" fontId="0" fillId="0" borderId="2" xfId="0" applyBorder="1" applyAlignment="1"/>
    <xf numFmtId="0" fontId="2" fillId="0" borderId="7" xfId="0" applyFont="1" applyBorder="1" applyAlignment="1"/>
    <xf numFmtId="0" fontId="2" fillId="0" borderId="7" xfId="0" applyFont="1" applyFill="1" applyBorder="1" applyAlignment="1"/>
    <xf numFmtId="0" fontId="0" fillId="0" borderId="4" xfId="0" applyBorder="1" applyAlignment="1"/>
    <xf numFmtId="0" fontId="2" fillId="0" borderId="6" xfId="0" applyFont="1" applyBorder="1" applyAlignment="1"/>
    <xf numFmtId="0" fontId="0" fillId="0" borderId="1" xfId="0" applyBorder="1" applyAlignment="1"/>
    <xf numFmtId="0" fontId="2" fillId="0" borderId="6" xfId="0" applyFont="1" applyFill="1" applyBorder="1" applyAlignment="1"/>
    <xf numFmtId="0" fontId="2" fillId="0" borderId="1" xfId="0" applyFont="1" applyFill="1" applyBorder="1" applyAlignment="1"/>
    <xf numFmtId="0" fontId="2" fillId="0" borderId="3" xfId="0" applyFont="1" applyFill="1" applyBorder="1" applyAlignment="1"/>
    <xf numFmtId="0" fontId="0" fillId="0" borderId="8" xfId="0" applyBorder="1"/>
    <xf numFmtId="0" fontId="0" fillId="0" borderId="0" xfId="0" applyBorder="1" applyAlignment="1"/>
    <xf numFmtId="3" fontId="0" fillId="0" borderId="8" xfId="0" applyNumberFormat="1" applyBorder="1"/>
    <xf numFmtId="0" fontId="0" fillId="0" borderId="8" xfId="0" applyBorder="1" applyAlignment="1"/>
    <xf numFmtId="0" fontId="9" fillId="0" borderId="5" xfId="0" applyFont="1" applyBorder="1" applyAlignment="1"/>
    <xf numFmtId="0" fontId="0" fillId="0" borderId="6" xfId="0" applyBorder="1"/>
    <xf numFmtId="3" fontId="0" fillId="0" borderId="6" xfId="0" applyNumberFormat="1" applyBorder="1"/>
    <xf numFmtId="3" fontId="9" fillId="0" borderId="1" xfId="0" applyNumberFormat="1" applyFont="1" applyBorder="1"/>
    <xf numFmtId="0" fontId="0" fillId="0" borderId="6" xfId="0" applyBorder="1" applyAlignment="1"/>
    <xf numFmtId="0" fontId="9" fillId="0" borderId="3" xfId="0" applyFont="1" applyBorder="1" applyAlignment="1"/>
    <xf numFmtId="0" fontId="22" fillId="0" borderId="0" xfId="0" applyFont="1"/>
    <xf numFmtId="3" fontId="0" fillId="0" borderId="0" xfId="0" applyNumberFormat="1" applyFill="1" applyBorder="1"/>
    <xf numFmtId="0" fontId="2" fillId="0" borderId="0" xfId="0" applyFont="1" applyAlignment="1">
      <alignment horizontal="center"/>
    </xf>
    <xf numFmtId="14" fontId="0" fillId="0" borderId="0" xfId="0" applyNumberFormat="1"/>
    <xf numFmtId="0" fontId="11" fillId="0" borderId="0" xfId="0" applyFont="1" applyAlignment="1" applyProtection="1">
      <alignment horizontal="right"/>
      <protection locked="0"/>
    </xf>
    <xf numFmtId="3" fontId="5" fillId="0" borderId="0" xfId="0" applyNumberFormat="1" applyFont="1" applyBorder="1" applyProtection="1">
      <protection locked="0"/>
    </xf>
    <xf numFmtId="1" fontId="11" fillId="0" borderId="0" xfId="0" applyNumberFormat="1" applyFont="1" applyBorder="1" applyProtection="1">
      <protection locked="0"/>
    </xf>
    <xf numFmtId="0" fontId="0" fillId="0" borderId="0" xfId="0" applyProtection="1">
      <protection locked="0"/>
    </xf>
    <xf numFmtId="3" fontId="11" fillId="0" borderId="0" xfId="0" applyNumberFormat="1" applyFont="1" applyProtection="1">
      <protection locked="0"/>
    </xf>
    <xf numFmtId="1" fontId="11" fillId="0" borderId="0" xfId="0" applyNumberFormat="1" applyFont="1" applyProtection="1">
      <protection locked="0"/>
    </xf>
    <xf numFmtId="0" fontId="11" fillId="0" borderId="0" xfId="0" applyFont="1" applyBorder="1" applyAlignment="1" applyProtection="1">
      <alignment horizontal="right"/>
      <protection locked="0"/>
    </xf>
    <xf numFmtId="0" fontId="2" fillId="0" borderId="1" xfId="0" applyFont="1" applyBorder="1" applyAlignment="1" applyProtection="1">
      <alignment horizontal="center"/>
      <protection locked="0"/>
    </xf>
    <xf numFmtId="0" fontId="11" fillId="0" borderId="0" xfId="0" applyFont="1" applyProtection="1">
      <protection locked="0"/>
    </xf>
    <xf numFmtId="0" fontId="0" fillId="0" borderId="0" xfId="0" applyBorder="1" applyProtection="1">
      <protection locked="0"/>
    </xf>
    <xf numFmtId="0" fontId="11" fillId="0" borderId="1" xfId="0" applyFont="1" applyBorder="1" applyProtection="1">
      <protection locked="0"/>
    </xf>
    <xf numFmtId="3" fontId="4" fillId="0" borderId="0" xfId="0" applyNumberFormat="1" applyFont="1" applyBorder="1" applyProtection="1">
      <protection locked="0"/>
    </xf>
    <xf numFmtId="3" fontId="3" fillId="0" borderId="0" xfId="0" applyNumberFormat="1" applyFont="1" applyBorder="1" applyProtection="1">
      <protection locked="0"/>
    </xf>
    <xf numFmtId="0" fontId="4" fillId="0" borderId="0" xfId="0" applyFont="1" applyBorder="1" applyProtection="1">
      <protection locked="0"/>
    </xf>
    <xf numFmtId="0" fontId="9" fillId="0" borderId="0" xfId="0" applyFont="1" applyProtection="1">
      <protection locked="0"/>
    </xf>
    <xf numFmtId="0" fontId="4" fillId="0" borderId="0" xfId="0" applyFont="1" applyProtection="1">
      <protection locked="0"/>
    </xf>
    <xf numFmtId="165" fontId="11" fillId="0" borderId="0" xfId="1" applyNumberFormat="1" applyFont="1" applyProtection="1">
      <protection locked="0"/>
    </xf>
    <xf numFmtId="3" fontId="11" fillId="0" borderId="0" xfId="0" applyNumberFormat="1" applyFont="1" applyBorder="1" applyProtection="1">
      <protection locked="0"/>
    </xf>
    <xf numFmtId="4" fontId="11" fillId="0" borderId="0" xfId="0" applyNumberFormat="1" applyFont="1" applyProtection="1">
      <protection locked="0"/>
    </xf>
    <xf numFmtId="164" fontId="11" fillId="0" borderId="0" xfId="0" applyNumberFormat="1" applyFont="1" applyProtection="1">
      <protection locked="0"/>
    </xf>
    <xf numFmtId="2" fontId="11" fillId="0" borderId="0" xfId="0" applyNumberFormat="1" applyFont="1" applyProtection="1">
      <protection locked="0"/>
    </xf>
    <xf numFmtId="3" fontId="11" fillId="0" borderId="0" xfId="0" applyNumberFormat="1" applyFont="1" applyFill="1" applyBorder="1" applyProtection="1">
      <protection locked="0"/>
    </xf>
    <xf numFmtId="0" fontId="11" fillId="0" borderId="0" xfId="0" applyFont="1" applyFill="1" applyBorder="1" applyProtection="1">
      <protection locked="0"/>
    </xf>
    <xf numFmtId="3" fontId="11" fillId="0" borderId="1" xfId="0" applyNumberFormat="1" applyFont="1" applyBorder="1" applyProtection="1">
      <protection locked="0"/>
    </xf>
    <xf numFmtId="9" fontId="11" fillId="0" borderId="1" xfId="1" applyFont="1" applyBorder="1" applyProtection="1">
      <protection locked="0"/>
    </xf>
    <xf numFmtId="0" fontId="0" fillId="0" borderId="0" xfId="0" applyFill="1" applyBorder="1" applyProtection="1">
      <protection locked="0"/>
    </xf>
    <xf numFmtId="0" fontId="0" fillId="0" borderId="1" xfId="0" applyBorder="1" applyProtection="1">
      <protection locked="0"/>
    </xf>
    <xf numFmtId="0" fontId="2" fillId="0" borderId="0" xfId="0" applyFont="1" applyBorder="1" applyProtection="1">
      <protection locked="0"/>
    </xf>
    <xf numFmtId="164" fontId="4" fillId="0" borderId="0" xfId="0" applyNumberFormat="1" applyFont="1" applyFill="1" applyBorder="1"/>
    <xf numFmtId="164" fontId="11" fillId="0" borderId="0" xfId="0" applyNumberFormat="1" applyFont="1" applyFill="1" applyBorder="1" applyProtection="1">
      <protection locked="0"/>
    </xf>
    <xf numFmtId="0" fontId="11" fillId="0" borderId="0" xfId="0" applyFont="1" applyBorder="1" applyProtection="1">
      <protection locked="0"/>
    </xf>
    <xf numFmtId="0" fontId="18" fillId="0" borderId="0" xfId="0" applyFont="1" applyBorder="1" applyProtection="1">
      <protection locked="0"/>
    </xf>
    <xf numFmtId="9" fontId="11" fillId="0" borderId="0" xfId="0" applyNumberFormat="1" applyFont="1" applyBorder="1" applyProtection="1">
      <protection locked="0"/>
    </xf>
    <xf numFmtId="1" fontId="2" fillId="0" borderId="0" xfId="0" applyNumberFormat="1" applyFont="1" applyProtection="1">
      <protection locked="0"/>
    </xf>
    <xf numFmtId="0" fontId="2" fillId="0" borderId="0" xfId="0" applyFont="1" applyProtection="1">
      <protection locked="0"/>
    </xf>
    <xf numFmtId="0" fontId="0" fillId="0" borderId="0" xfId="0" applyFont="1" applyBorder="1" applyProtection="1">
      <protection locked="0"/>
    </xf>
    <xf numFmtId="0" fontId="11" fillId="0" borderId="2" xfId="0" applyFont="1" applyBorder="1" applyProtection="1">
      <protection locked="0"/>
    </xf>
    <xf numFmtId="1" fontId="11" fillId="0" borderId="1" xfId="0" applyNumberFormat="1" applyFont="1" applyBorder="1" applyProtection="1">
      <protection locked="0"/>
    </xf>
    <xf numFmtId="1" fontId="2" fillId="0" borderId="0" xfId="0" applyNumberFormat="1" applyFont="1" applyProtection="1"/>
    <xf numFmtId="164" fontId="11" fillId="0" borderId="0" xfId="0" applyNumberFormat="1" applyFont="1" applyBorder="1" applyProtection="1">
      <protection locked="0"/>
    </xf>
    <xf numFmtId="2" fontId="18" fillId="0" borderId="0" xfId="0" applyNumberFormat="1" applyFont="1" applyBorder="1" applyProtection="1"/>
    <xf numFmtId="3" fontId="18" fillId="0" borderId="0" xfId="0" applyNumberFormat="1" applyFont="1" applyBorder="1" applyProtection="1"/>
    <xf numFmtId="1" fontId="18" fillId="0" borderId="0" xfId="0" applyNumberFormat="1" applyFont="1" applyBorder="1" applyProtection="1"/>
    <xf numFmtId="0" fontId="18" fillId="0" borderId="0" xfId="0" applyFont="1" applyBorder="1" applyProtection="1"/>
    <xf numFmtId="2" fontId="18" fillId="0" borderId="0" xfId="0" applyNumberFormat="1" applyFont="1" applyProtection="1"/>
    <xf numFmtId="3" fontId="18" fillId="0" borderId="0" xfId="0" applyNumberFormat="1" applyFont="1" applyProtection="1"/>
    <xf numFmtId="1" fontId="18" fillId="0" borderId="0" xfId="0" applyNumberFormat="1" applyFont="1" applyProtection="1"/>
    <xf numFmtId="3" fontId="2" fillId="0" borderId="0" xfId="0" applyNumberFormat="1" applyFont="1" applyProtection="1">
      <protection locked="0"/>
    </xf>
    <xf numFmtId="3" fontId="0" fillId="0" borderId="0" xfId="0" applyNumberFormat="1" applyProtection="1">
      <protection locked="0"/>
    </xf>
    <xf numFmtId="9" fontId="11" fillId="0" borderId="0" xfId="1" applyFont="1" applyProtection="1">
      <protection locked="0"/>
    </xf>
    <xf numFmtId="165" fontId="12" fillId="0" borderId="0" xfId="1" applyNumberFormat="1" applyFont="1" applyProtection="1">
      <protection locked="0"/>
    </xf>
    <xf numFmtId="0" fontId="18" fillId="0" borderId="0" xfId="0" applyFont="1" applyProtection="1">
      <protection locked="0"/>
    </xf>
    <xf numFmtId="1" fontId="11" fillId="0" borderId="0" xfId="1" applyNumberFormat="1" applyFont="1" applyProtection="1">
      <protection locked="0"/>
    </xf>
    <xf numFmtId="2" fontId="0" fillId="0" borderId="1" xfId="0" applyNumberFormat="1" applyBorder="1"/>
    <xf numFmtId="2" fontId="11" fillId="0" borderId="1" xfId="0" applyNumberFormat="1" applyFont="1" applyBorder="1" applyProtection="1">
      <protection locked="0"/>
    </xf>
    <xf numFmtId="166" fontId="11" fillId="0" borderId="0" xfId="0" applyNumberFormat="1" applyFont="1"/>
    <xf numFmtId="9" fontId="0" fillId="0" borderId="0" xfId="1" applyFont="1"/>
    <xf numFmtId="0" fontId="0" fillId="0" borderId="0" xfId="0" applyAlignment="1">
      <alignment horizontal="left" indent="1"/>
    </xf>
    <xf numFmtId="3" fontId="0" fillId="0" borderId="0" xfId="0" applyNumberFormat="1" applyFont="1" applyBorder="1"/>
    <xf numFmtId="1" fontId="0" fillId="0" borderId="0" xfId="0" applyNumberFormat="1" applyFont="1" applyBorder="1"/>
    <xf numFmtId="9" fontId="11" fillId="0" borderId="0" xfId="1" applyNumberFormat="1" applyFont="1" applyProtection="1">
      <protection locked="0"/>
    </xf>
    <xf numFmtId="3" fontId="4" fillId="0" borderId="0" xfId="0" applyNumberFormat="1" applyFont="1" applyProtection="1">
      <protection locked="0"/>
    </xf>
    <xf numFmtId="0" fontId="20" fillId="2" borderId="1" xfId="0" applyFont="1" applyFill="1" applyBorder="1" applyAlignment="1">
      <alignment wrapText="1"/>
    </xf>
    <xf numFmtId="0" fontId="0" fillId="0" borderId="1" xfId="0" applyFill="1" applyBorder="1"/>
    <xf numFmtId="0" fontId="20" fillId="2" borderId="1" xfId="0" applyFont="1" applyFill="1" applyBorder="1"/>
    <xf numFmtId="0" fontId="2" fillId="2" borderId="1" xfId="0" applyFont="1" applyFill="1" applyBorder="1" applyAlignment="1">
      <alignment horizontal="center" wrapText="1"/>
    </xf>
    <xf numFmtId="2" fontId="2" fillId="0" borderId="0" xfId="0" applyNumberFormat="1" applyFont="1" applyAlignment="1">
      <alignment horizontal="center"/>
    </xf>
    <xf numFmtId="3" fontId="11" fillId="0" borderId="0" xfId="0" applyNumberFormat="1" applyFont="1" applyAlignment="1" applyProtection="1">
      <alignment horizontal="center"/>
      <protection locked="0"/>
    </xf>
    <xf numFmtId="166" fontId="11" fillId="0" borderId="0" xfId="0" applyNumberFormat="1" applyFont="1" applyAlignment="1" applyProtection="1">
      <alignment horizontal="center"/>
      <protection locked="0"/>
    </xf>
    <xf numFmtId="9" fontId="11" fillId="0" borderId="0" xfId="1" applyFont="1" applyAlignment="1" applyProtection="1">
      <alignment horizontal="center"/>
      <protection locked="0"/>
    </xf>
    <xf numFmtId="0" fontId="2" fillId="2" borderId="6" xfId="0" applyFont="1" applyFill="1" applyBorder="1" applyAlignment="1">
      <alignment horizontal="center" wrapText="1"/>
    </xf>
    <xf numFmtId="3" fontId="11" fillId="0" borderId="8" xfId="0" applyNumberFormat="1" applyFont="1" applyBorder="1" applyAlignment="1" applyProtection="1">
      <alignment horizontal="center"/>
      <protection locked="0"/>
    </xf>
    <xf numFmtId="9" fontId="11" fillId="0" borderId="8" xfId="1" applyFont="1" applyBorder="1" applyAlignment="1" applyProtection="1">
      <alignment horizontal="center"/>
      <protection locked="0"/>
    </xf>
    <xf numFmtId="2" fontId="11" fillId="0" borderId="0" xfId="0" applyNumberFormat="1" applyFont="1" applyBorder="1" applyProtection="1">
      <protection locked="0"/>
    </xf>
    <xf numFmtId="3" fontId="5" fillId="0" borderId="0" xfId="0" applyNumberFormat="1" applyFont="1" applyBorder="1" applyAlignment="1" applyProtection="1">
      <alignment shrinkToFit="1"/>
      <protection locked="0"/>
    </xf>
    <xf numFmtId="0" fontId="4" fillId="0" borderId="0" xfId="0" applyFont="1" applyProtection="1"/>
    <xf numFmtId="3" fontId="4" fillId="0" borderId="0" xfId="0" applyNumberFormat="1" applyFont="1" applyProtection="1"/>
    <xf numFmtId="9" fontId="4" fillId="0" borderId="0" xfId="1" applyFont="1" applyProtection="1"/>
    <xf numFmtId="0" fontId="11" fillId="0" borderId="0" xfId="0" applyFont="1" applyAlignment="1" applyProtection="1">
      <alignment horizontal="center"/>
      <protection locked="0"/>
    </xf>
    <xf numFmtId="0" fontId="11" fillId="0" borderId="1" xfId="0" applyFont="1" applyBorder="1" applyAlignment="1" applyProtection="1">
      <alignment horizontal="center"/>
      <protection locked="0"/>
    </xf>
    <xf numFmtId="0" fontId="12" fillId="0" borderId="0" xfId="0" applyFont="1" applyAlignment="1" applyProtection="1">
      <alignment horizontal="center"/>
      <protection locked="0"/>
    </xf>
    <xf numFmtId="0" fontId="12" fillId="0" borderId="0" xfId="0" applyFont="1" applyProtection="1">
      <protection locked="0"/>
    </xf>
    <xf numFmtId="3" fontId="11" fillId="0" borderId="8" xfId="0" applyNumberFormat="1" applyFont="1" applyBorder="1" applyAlignment="1" applyProtection="1">
      <alignment horizontal="right"/>
      <protection locked="0"/>
    </xf>
    <xf numFmtId="3" fontId="13" fillId="0" borderId="0" xfId="0" applyNumberFormat="1" applyFont="1" applyAlignment="1" applyProtection="1">
      <alignment horizontal="center"/>
      <protection locked="0"/>
    </xf>
    <xf numFmtId="0" fontId="13" fillId="0" borderId="0" xfId="0" applyFont="1" applyAlignment="1">
      <alignment horizontal="right"/>
    </xf>
    <xf numFmtId="0" fontId="17" fillId="0" borderId="1" xfId="0" applyFont="1" applyFill="1" applyBorder="1"/>
    <xf numFmtId="3" fontId="25" fillId="0" borderId="1" xfId="0" applyNumberFormat="1" applyFont="1" applyFill="1" applyBorder="1" applyAlignment="1">
      <alignment horizontal="center" wrapText="1"/>
    </xf>
    <xf numFmtId="3" fontId="17" fillId="0" borderId="0" xfId="0" applyNumberFormat="1" applyFont="1" applyAlignment="1" applyProtection="1">
      <alignment horizontal="center"/>
      <protection locked="0"/>
    </xf>
    <xf numFmtId="9" fontId="18" fillId="0" borderId="0" xfId="0" applyNumberFormat="1" applyFont="1"/>
    <xf numFmtId="3" fontId="3" fillId="0" borderId="0" xfId="0" applyNumberFormat="1" applyFont="1"/>
    <xf numFmtId="0" fontId="4" fillId="0" borderId="0" xfId="0" applyFont="1" applyAlignment="1">
      <alignment horizontal="right"/>
    </xf>
    <xf numFmtId="3" fontId="4" fillId="3" borderId="0" xfId="0" applyNumberFormat="1" applyFont="1" applyFill="1" applyBorder="1"/>
    <xf numFmtId="0" fontId="0" fillId="0" borderId="0" xfId="0" applyFont="1" applyFill="1"/>
    <xf numFmtId="4" fontId="11" fillId="0" borderId="0" xfId="0" applyNumberFormat="1" applyFont="1" applyBorder="1" applyProtection="1">
      <protection locked="0"/>
    </xf>
    <xf numFmtId="166" fontId="11" fillId="0" borderId="0" xfId="0" applyNumberFormat="1" applyFont="1" applyProtection="1">
      <protection locked="0"/>
    </xf>
    <xf numFmtId="1" fontId="0" fillId="0" borderId="0" xfId="0" applyNumberFormat="1" applyFill="1"/>
    <xf numFmtId="1" fontId="0" fillId="3" borderId="1" xfId="0" applyNumberFormat="1" applyFill="1" applyBorder="1"/>
    <xf numFmtId="165" fontId="4" fillId="0" borderId="0" xfId="0" applyNumberFormat="1" applyFont="1" applyFill="1"/>
    <xf numFmtId="165" fontId="4" fillId="0" borderId="0" xfId="1" applyNumberFormat="1" applyFont="1" applyFill="1"/>
    <xf numFmtId="3" fontId="4" fillId="0" borderId="0" xfId="0" applyNumberFormat="1" applyFont="1" applyFill="1" applyBorder="1"/>
    <xf numFmtId="3" fontId="0" fillId="0" borderId="0" xfId="0" applyNumberFormat="1" applyFill="1"/>
    <xf numFmtId="9" fontId="5" fillId="0" borderId="0" xfId="1" applyFont="1" applyFill="1" applyBorder="1" applyProtection="1">
      <protection locked="0"/>
    </xf>
    <xf numFmtId="9" fontId="4" fillId="0" borderId="0" xfId="1" applyFont="1" applyFill="1" applyBorder="1"/>
    <xf numFmtId="9" fontId="4" fillId="0" borderId="0" xfId="1" applyFont="1" applyFill="1" applyBorder="1" applyProtection="1"/>
    <xf numFmtId="9" fontId="4" fillId="0" borderId="0" xfId="1" applyFont="1" applyProtection="1">
      <protection locked="0"/>
    </xf>
    <xf numFmtId="4" fontId="11" fillId="0" borderId="8" xfId="0" applyNumberFormat="1" applyFont="1" applyBorder="1" applyAlignment="1" applyProtection="1">
      <alignment horizontal="center"/>
      <protection locked="0"/>
    </xf>
    <xf numFmtId="4" fontId="11" fillId="0" borderId="0" xfId="0" applyNumberFormat="1" applyFont="1" applyAlignment="1" applyProtection="1">
      <alignment horizontal="center"/>
      <protection locked="0"/>
    </xf>
    <xf numFmtId="4" fontId="4" fillId="0" borderId="0" xfId="0" applyNumberFormat="1" applyFont="1" applyAlignment="1" applyProtection="1">
      <alignment horizontal="center"/>
    </xf>
    <xf numFmtId="167" fontId="4" fillId="0" borderId="0" xfId="0" applyNumberFormat="1" applyFont="1" applyFill="1" applyBorder="1" applyAlignment="1" applyProtection="1">
      <alignment horizontal="right"/>
      <protection locked="0"/>
    </xf>
    <xf numFmtId="166" fontId="11" fillId="0" borderId="8" xfId="0" applyNumberFormat="1" applyFont="1" applyBorder="1" applyAlignment="1" applyProtection="1">
      <alignment horizontal="right"/>
      <protection locked="0"/>
    </xf>
    <xf numFmtId="3" fontId="4" fillId="0" borderId="8" xfId="0" applyNumberFormat="1" applyFont="1" applyBorder="1" applyAlignment="1" applyProtection="1">
      <alignment horizontal="right"/>
    </xf>
    <xf numFmtId="164" fontId="2" fillId="2" borderId="8" xfId="0" applyNumberFormat="1" applyFont="1" applyFill="1" applyBorder="1" applyAlignment="1">
      <alignment horizontal="center"/>
    </xf>
    <xf numFmtId="3" fontId="2" fillId="2" borderId="9" xfId="0" applyNumberFormat="1" applyFont="1" applyFill="1" applyBorder="1" applyAlignment="1">
      <alignment horizontal="center"/>
    </xf>
    <xf numFmtId="3" fontId="2" fillId="2" borderId="0" xfId="0" applyNumberFormat="1" applyFont="1" applyFill="1" applyAlignment="1">
      <alignment horizontal="center"/>
    </xf>
    <xf numFmtId="9" fontId="4" fillId="0" borderId="0" xfId="1" applyFont="1" applyBorder="1"/>
    <xf numFmtId="0" fontId="17" fillId="0" borderId="0" xfId="1" applyNumberFormat="1" applyFont="1" applyBorder="1" applyProtection="1">
      <protection locked="0"/>
    </xf>
    <xf numFmtId="3" fontId="0" fillId="0" borderId="0" xfId="0" applyNumberFormat="1" applyBorder="1" applyProtection="1"/>
    <xf numFmtId="3" fontId="4" fillId="0" borderId="0" xfId="0" applyNumberFormat="1" applyFont="1" applyFill="1" applyBorder="1" applyProtection="1">
      <protection locked="0"/>
    </xf>
    <xf numFmtId="0" fontId="18" fillId="0" borderId="1" xfId="0" applyFont="1" applyBorder="1"/>
    <xf numFmtId="9" fontId="18" fillId="0" borderId="1" xfId="1" applyFont="1" applyBorder="1" applyProtection="1"/>
    <xf numFmtId="0" fontId="18" fillId="0" borderId="1" xfId="0" applyFont="1" applyFill="1" applyBorder="1"/>
    <xf numFmtId="9" fontId="18" fillId="0" borderId="1" xfId="1" applyFont="1" applyFill="1" applyBorder="1" applyProtection="1"/>
    <xf numFmtId="3" fontId="18" fillId="0" borderId="1" xfId="0" applyNumberFormat="1" applyFont="1" applyFill="1" applyBorder="1"/>
    <xf numFmtId="9" fontId="18" fillId="0" borderId="1" xfId="1" applyFont="1" applyFill="1" applyBorder="1"/>
    <xf numFmtId="3" fontId="18" fillId="0" borderId="1" xfId="0" applyNumberFormat="1" applyFont="1" applyBorder="1"/>
    <xf numFmtId="9" fontId="5" fillId="0" borderId="0" xfId="1" applyNumberFormat="1" applyFont="1" applyBorder="1" applyProtection="1">
      <protection locked="0"/>
    </xf>
    <xf numFmtId="164" fontId="2" fillId="0" borderId="0" xfId="0" applyNumberFormat="1" applyFont="1"/>
    <xf numFmtId="3" fontId="2" fillId="3" borderId="0" xfId="0" applyNumberFormat="1" applyFont="1" applyFill="1" applyAlignment="1">
      <alignment horizontal="center"/>
    </xf>
    <xf numFmtId="0" fontId="0" fillId="3" borderId="0" xfId="0" applyFill="1"/>
    <xf numFmtId="3" fontId="0" fillId="3" borderId="0" xfId="0" applyNumberFormat="1" applyFill="1"/>
    <xf numFmtId="1" fontId="0" fillId="3" borderId="0" xfId="0" applyNumberFormat="1" applyFill="1"/>
    <xf numFmtId="0" fontId="2" fillId="2" borderId="1" xfId="0" applyFont="1" applyFill="1" applyBorder="1" applyAlignment="1">
      <alignment horizontal="center"/>
    </xf>
    <xf numFmtId="164" fontId="9" fillId="0" borderId="0" xfId="0" applyNumberFormat="1" applyFont="1"/>
    <xf numFmtId="0" fontId="26" fillId="2" borderId="1" xfId="0" applyFont="1" applyFill="1" applyBorder="1" applyAlignment="1">
      <alignment horizontal="center" wrapText="1"/>
    </xf>
    <xf numFmtId="9" fontId="27" fillId="0" borderId="0" xfId="1" applyFont="1" applyBorder="1" applyAlignment="1" applyProtection="1">
      <alignment horizontal="center"/>
      <protection locked="0"/>
    </xf>
    <xf numFmtId="0" fontId="0" fillId="2" borderId="8" xfId="0" applyFill="1" applyBorder="1"/>
    <xf numFmtId="3" fontId="2" fillId="2" borderId="9" xfId="0" applyNumberFormat="1" applyFont="1" applyFill="1" applyBorder="1"/>
    <xf numFmtId="3" fontId="0" fillId="2" borderId="8" xfId="0" applyNumberFormat="1" applyFill="1" applyBorder="1"/>
    <xf numFmtId="165" fontId="2" fillId="2" borderId="8" xfId="1" applyNumberFormat="1" applyFont="1" applyFill="1" applyBorder="1" applyAlignment="1">
      <alignment horizontal="center"/>
    </xf>
    <xf numFmtId="3" fontId="17" fillId="0" borderId="8" xfId="0" applyNumberFormat="1" applyFont="1" applyBorder="1"/>
    <xf numFmtId="3" fontId="17" fillId="0" borderId="0" xfId="0" applyNumberFormat="1" applyFont="1"/>
    <xf numFmtId="9" fontId="2" fillId="2" borderId="0" xfId="1" applyFont="1" applyFill="1" applyAlignment="1">
      <alignment horizontal="center"/>
    </xf>
    <xf numFmtId="3" fontId="17" fillId="0" borderId="0" xfId="0" applyNumberFormat="1" applyFont="1" applyBorder="1"/>
    <xf numFmtId="3" fontId="0" fillId="0" borderId="0" xfId="0" applyNumberFormat="1" applyFont="1"/>
    <xf numFmtId="3" fontId="3" fillId="3" borderId="0" xfId="0" applyNumberFormat="1" applyFont="1" applyFill="1"/>
    <xf numFmtId="0" fontId="2" fillId="2" borderId="1" xfId="0" applyFont="1" applyFill="1" applyBorder="1" applyAlignment="1">
      <alignment horizontal="left"/>
    </xf>
    <xf numFmtId="3" fontId="2" fillId="3" borderId="0" xfId="0" applyNumberFormat="1" applyFont="1" applyFill="1"/>
    <xf numFmtId="0" fontId="17" fillId="0" borderId="0" xfId="0" applyFont="1" applyAlignment="1">
      <alignment horizontal="left"/>
    </xf>
    <xf numFmtId="9" fontId="17" fillId="0" borderId="0" xfId="1" applyFont="1"/>
    <xf numFmtId="0" fontId="17" fillId="0" borderId="0" xfId="0" applyFont="1" applyAlignment="1">
      <alignment wrapText="1"/>
    </xf>
    <xf numFmtId="0" fontId="14" fillId="0" borderId="0" xfId="2" applyProtection="1">
      <protection locked="0"/>
    </xf>
    <xf numFmtId="14" fontId="0" fillId="0" borderId="0" xfId="0" applyNumberFormat="1" applyAlignment="1">
      <alignment horizontal="right"/>
    </xf>
    <xf numFmtId="0" fontId="2" fillId="2" borderId="1" xfId="0" applyFont="1" applyFill="1" applyBorder="1" applyAlignment="1">
      <alignment horizontal="center"/>
    </xf>
    <xf numFmtId="0" fontId="3" fillId="2" borderId="1" xfId="0" applyFont="1" applyFill="1" applyBorder="1" applyAlignment="1">
      <alignment horizontal="center"/>
    </xf>
  </cellXfs>
  <cellStyles count="4">
    <cellStyle name="Hyperlinkki" xfId="2" builtinId="8"/>
    <cellStyle name="Normaali" xfId="0" builtinId="0"/>
    <cellStyle name="Normaali 2" xfId="3" xr:uid="{00000000-0005-0000-0000-000002000000}"/>
    <cellStyle name="Prosenttia" xfId="1" builtinId="5"/>
  </cellStyles>
  <dxfs count="3">
    <dxf>
      <font>
        <color rgb="FF9C0006"/>
      </font>
    </dxf>
    <dxf>
      <font>
        <color rgb="FF9C0006"/>
      </font>
    </dxf>
    <dxf>
      <font>
        <color rgb="FF9C0006"/>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r>
              <a:rPr lang="fi-FI"/>
              <a:t>Tuotantokustannuksen jakautuminen, €/ha</a:t>
            </a:r>
          </a:p>
        </c:rich>
      </c:tx>
      <c:overlay val="0"/>
      <c:spPr>
        <a:noFill/>
        <a:ln>
          <a:noFill/>
        </a:ln>
        <a:effectLst/>
      </c:spPr>
      <c:txPr>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9.3028433945756772E-2"/>
          <c:y val="0.17934492563429572"/>
          <c:w val="0.43060979877515315"/>
          <c:h val="0.7176829979585885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EAF-4DF8-AD89-AACF2FD641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EAF-4DF8-AD89-AACF2FD6410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7CDC-4827-BFD6-CA7C3F93BB7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EAF-4DF8-AD89-AACF2FD64104}"/>
              </c:ext>
            </c:extLst>
          </c:dPt>
          <c:dLbls>
            <c:spPr>
              <a:noFill/>
              <a:ln>
                <a:noFill/>
              </a:ln>
              <a:effectLst/>
            </c:spPr>
            <c:txPr>
              <a:bodyPr rot="0" spcFirstLastPara="1" vertOverflow="ellipsis" vert="horz" wrap="square" anchor="ctr" anchorCtr="1"/>
              <a:lstStyle/>
              <a:p>
                <a:pPr>
                  <a:defRPr sz="1050" b="1" i="0" u="none" strike="noStrike" kern="1200" baseline="0">
                    <a:solidFill>
                      <a:schemeClr val="tx1">
                        <a:lumMod val="75000"/>
                        <a:lumOff val="25000"/>
                      </a:schemeClr>
                    </a:solidFill>
                    <a:latin typeface="+mn-lt"/>
                    <a:ea typeface="+mn-ea"/>
                    <a:cs typeface="+mn-cs"/>
                  </a:defRPr>
                </a:pPr>
                <a:endParaRPr lang="fi-FI"/>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Yhteenveto!$B$16:$B$19</c:f>
              <c:strCache>
                <c:ptCount val="4"/>
                <c:pt idx="0">
                  <c:v>Muuttuvat viljelykustannukset</c:v>
                </c:pt>
                <c:pt idx="1">
                  <c:v>Työkustannus</c:v>
                </c:pt>
                <c:pt idx="2">
                  <c:v>Koneet + urakointi (ilman työtä)</c:v>
                </c:pt>
                <c:pt idx="3">
                  <c:v>Pelto ja rakennukset</c:v>
                </c:pt>
              </c:strCache>
            </c:strRef>
          </c:cat>
          <c:val>
            <c:numRef>
              <c:f>Yhteenveto!$C$16:$C$19</c:f>
              <c:numCache>
                <c:formatCode>0</c:formatCode>
                <c:ptCount val="4"/>
                <c:pt idx="0">
                  <c:v>356.43833333333333</c:v>
                </c:pt>
                <c:pt idx="1">
                  <c:v>178.42000000000002</c:v>
                </c:pt>
                <c:pt idx="2">
                  <c:v>647.40960602190808</c:v>
                </c:pt>
                <c:pt idx="3">
                  <c:v>443.80555555555554</c:v>
                </c:pt>
              </c:numCache>
            </c:numRef>
          </c:val>
          <c:extLst>
            <c:ext xmlns:c16="http://schemas.microsoft.com/office/drawing/2014/chart" uri="{C3380CC4-5D6E-409C-BE32-E72D297353CC}">
              <c16:uniqueId val="{00000000-7CDC-4827-BFD6-CA7C3F93BB7F}"/>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0.58801771653543311"/>
          <c:y val="0.26442840478273549"/>
          <c:w val="0.33229790026246719"/>
          <c:h val="0.5781641878098570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22225" cap="flat" cmpd="sng" algn="ctr">
      <a:solidFill>
        <a:schemeClr val="bg1">
          <a:lumMod val="65000"/>
        </a:schemeClr>
      </a:solidFill>
      <a:round/>
    </a:ln>
    <a:effectLst/>
  </c:spPr>
  <c:txPr>
    <a:bodyPr/>
    <a:lstStyle/>
    <a:p>
      <a:pPr>
        <a:defRPr sz="1050" b="1"/>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r>
              <a:rPr lang="fi-FI"/>
              <a:t>Tuotantokustannuksen jakautuminen, €/tn</a:t>
            </a:r>
          </a:p>
        </c:rich>
      </c:tx>
      <c:overlay val="0"/>
      <c:spPr>
        <a:noFill/>
        <a:ln>
          <a:noFill/>
        </a:ln>
        <a:effectLst/>
      </c:spPr>
      <c:txPr>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9.3028433945756772E-2"/>
          <c:y val="0.17934492563429572"/>
          <c:w val="0.43060979877515315"/>
          <c:h val="0.7176829979585885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3A2-46B0-AE4B-992A2CD21A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3A2-46B0-AE4B-992A2CD21A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3A2-46B0-AE4B-992A2CD21A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3A2-46B0-AE4B-992A2CD21A69}"/>
              </c:ext>
            </c:extLst>
          </c:dPt>
          <c:dLbls>
            <c:spPr>
              <a:noFill/>
              <a:ln>
                <a:noFill/>
              </a:ln>
              <a:effectLst/>
            </c:spPr>
            <c:txPr>
              <a:bodyPr rot="0" spcFirstLastPara="1" vertOverflow="ellipsis" vert="horz" wrap="square" anchor="ctr" anchorCtr="1"/>
              <a:lstStyle/>
              <a:p>
                <a:pPr>
                  <a:defRPr sz="1050" b="1" i="0" u="none" strike="noStrike" kern="1200" baseline="0">
                    <a:solidFill>
                      <a:schemeClr val="tx1">
                        <a:lumMod val="75000"/>
                        <a:lumOff val="25000"/>
                      </a:schemeClr>
                    </a:solidFill>
                    <a:latin typeface="+mn-lt"/>
                    <a:ea typeface="+mn-ea"/>
                    <a:cs typeface="+mn-cs"/>
                  </a:defRPr>
                </a:pPr>
                <a:endParaRPr lang="fi-FI"/>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Yhteenveto!$B$16:$B$19</c:f>
              <c:strCache>
                <c:ptCount val="4"/>
                <c:pt idx="0">
                  <c:v>Muuttuvat viljelykustannukset</c:v>
                </c:pt>
                <c:pt idx="1">
                  <c:v>Työkustannus</c:v>
                </c:pt>
                <c:pt idx="2">
                  <c:v>Koneet + urakointi (ilman työtä)</c:v>
                </c:pt>
                <c:pt idx="3">
                  <c:v>Pelto ja rakennukset</c:v>
                </c:pt>
              </c:strCache>
            </c:strRef>
          </c:cat>
          <c:val>
            <c:numRef>
              <c:f>Yhteenveto!$E$16:$E$19</c:f>
              <c:numCache>
                <c:formatCode>0</c:formatCode>
                <c:ptCount val="4"/>
                <c:pt idx="0">
                  <c:v>77.994998627331469</c:v>
                </c:pt>
                <c:pt idx="1">
                  <c:v>39.0414451917961</c:v>
                </c:pt>
                <c:pt idx="2">
                  <c:v>141.66464886305698</c:v>
                </c:pt>
                <c:pt idx="3">
                  <c:v>97.112488919610129</c:v>
                </c:pt>
              </c:numCache>
            </c:numRef>
          </c:val>
          <c:extLst>
            <c:ext xmlns:c16="http://schemas.microsoft.com/office/drawing/2014/chart" uri="{C3380CC4-5D6E-409C-BE32-E72D297353CC}">
              <c16:uniqueId val="{00000008-33A2-46B0-AE4B-992A2CD21A69}"/>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0.58801771653543311"/>
          <c:y val="0.26442840478273549"/>
          <c:w val="0.33229790026246719"/>
          <c:h val="0.5781641878098570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22225" cap="flat" cmpd="sng" algn="ctr">
      <a:solidFill>
        <a:schemeClr val="bg1">
          <a:lumMod val="65000"/>
        </a:schemeClr>
      </a:solidFill>
      <a:round/>
    </a:ln>
    <a:effectLst/>
  </c:spPr>
  <c:txPr>
    <a:bodyPr/>
    <a:lstStyle/>
    <a:p>
      <a:pPr>
        <a:defRPr sz="1050" b="1"/>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r>
              <a:rPr lang="fi-FI"/>
              <a:t>Tuotantokustannus</a:t>
            </a:r>
            <a:r>
              <a:rPr lang="fi-FI" baseline="0"/>
              <a:t> yhteensä</a:t>
            </a:r>
            <a:r>
              <a:rPr lang="fi-FI"/>
              <a:t>, €/ha</a:t>
            </a:r>
          </a:p>
        </c:rich>
      </c:tx>
      <c:overlay val="0"/>
      <c:spPr>
        <a:noFill/>
        <a:ln>
          <a:noFill/>
        </a:ln>
        <a:effectLst/>
      </c:spPr>
      <c:txPr>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0.20877384076990377"/>
          <c:y val="0.17934492563429572"/>
          <c:w val="0.74500393700787404"/>
          <c:h val="0.71768299795858859"/>
        </c:manualLayout>
      </c:layout>
      <c:barChart>
        <c:barDir val="bar"/>
        <c:grouping val="clustered"/>
        <c:varyColors val="0"/>
        <c:ser>
          <c:idx val="0"/>
          <c:order val="0"/>
          <c:spPr>
            <a:solidFill>
              <a:schemeClr val="accent1"/>
            </a:solidFill>
            <a:ln w="19050">
              <a:solidFill>
                <a:schemeClr val="lt1"/>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Yhteenveto!$B$20:$B$22</c:f>
              <c:strCache>
                <c:ptCount val="3"/>
                <c:pt idx="0">
                  <c:v>Tuotantokustannus yhteensä</c:v>
                </c:pt>
                <c:pt idx="1">
                  <c:v>Tuet</c:v>
                </c:pt>
                <c:pt idx="2">
                  <c:v>Tuotantokustannus - tuet</c:v>
                </c:pt>
              </c:strCache>
            </c:strRef>
          </c:cat>
          <c:val>
            <c:numRef>
              <c:f>Yhteenveto!$C$20:$C$22</c:f>
              <c:numCache>
                <c:formatCode>0</c:formatCode>
                <c:ptCount val="3"/>
                <c:pt idx="0">
                  <c:v>1626.0734949107969</c:v>
                </c:pt>
                <c:pt idx="1">
                  <c:v>573</c:v>
                </c:pt>
                <c:pt idx="2">
                  <c:v>1053.0734949107969</c:v>
                </c:pt>
              </c:numCache>
            </c:numRef>
          </c:val>
          <c:extLst>
            <c:ext xmlns:c16="http://schemas.microsoft.com/office/drawing/2014/chart" uri="{C3380CC4-5D6E-409C-BE32-E72D297353CC}">
              <c16:uniqueId val="{00000008-35C8-4671-B598-C6DD44D67355}"/>
            </c:ext>
          </c:extLst>
        </c:ser>
        <c:dLbls>
          <c:showLegendKey val="0"/>
          <c:showVal val="0"/>
          <c:showCatName val="0"/>
          <c:showSerName val="0"/>
          <c:showPercent val="0"/>
          <c:showBubbleSize val="0"/>
        </c:dLbls>
        <c:gapWidth val="60"/>
        <c:axId val="593174096"/>
        <c:axId val="593171472"/>
      </c:barChart>
      <c:valAx>
        <c:axId val="5931714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i-FI"/>
          </a:p>
        </c:txPr>
        <c:crossAx val="593174096"/>
        <c:crosses val="autoZero"/>
        <c:crossBetween val="between"/>
      </c:valAx>
      <c:catAx>
        <c:axId val="59317409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i-FI"/>
          </a:p>
        </c:txPr>
        <c:crossAx val="593171472"/>
        <c:crosses val="autoZero"/>
        <c:auto val="1"/>
        <c:lblAlgn val="ctr"/>
        <c:lblOffset val="100"/>
        <c:noMultiLvlLbl val="0"/>
      </c:catAx>
      <c:spPr>
        <a:noFill/>
        <a:ln>
          <a:noFill/>
        </a:ln>
        <a:effectLst/>
      </c:spPr>
    </c:plotArea>
    <c:plotVisOnly val="1"/>
    <c:dispBlanksAs val="gap"/>
    <c:showDLblsOverMax val="0"/>
  </c:chart>
  <c:spPr>
    <a:solidFill>
      <a:schemeClr val="bg1"/>
    </a:solidFill>
    <a:ln w="22225" cap="flat" cmpd="sng" algn="ctr">
      <a:solidFill>
        <a:schemeClr val="bg1">
          <a:lumMod val="65000"/>
        </a:schemeClr>
      </a:solidFill>
      <a:round/>
    </a:ln>
    <a:effectLst/>
  </c:spPr>
  <c:txPr>
    <a:bodyPr/>
    <a:lstStyle/>
    <a:p>
      <a:pPr>
        <a:defRPr sz="1050" b="1"/>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r>
              <a:rPr lang="fi-FI"/>
              <a:t>Tuotantokustannus yhteensä, €/tn</a:t>
            </a:r>
          </a:p>
        </c:rich>
      </c:tx>
      <c:overlay val="0"/>
      <c:spPr>
        <a:noFill/>
        <a:ln>
          <a:noFill/>
        </a:ln>
        <a:effectLst/>
      </c:spPr>
      <c:txPr>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0.20877384076990377"/>
          <c:y val="0.17934492563429572"/>
          <c:w val="0.74500393700787404"/>
          <c:h val="0.71768299795858859"/>
        </c:manualLayout>
      </c:layout>
      <c:barChart>
        <c:barDir val="bar"/>
        <c:grouping val="clustered"/>
        <c:varyColors val="0"/>
        <c:ser>
          <c:idx val="0"/>
          <c:order val="0"/>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Yhteenveto!$B$20:$B$22</c:f>
              <c:strCache>
                <c:ptCount val="3"/>
                <c:pt idx="0">
                  <c:v>Tuotantokustannus yhteensä</c:v>
                </c:pt>
                <c:pt idx="1">
                  <c:v>Tuet</c:v>
                </c:pt>
                <c:pt idx="2">
                  <c:v>Tuotantokustannus - tuet</c:v>
                </c:pt>
              </c:strCache>
            </c:strRef>
          </c:cat>
          <c:val>
            <c:numRef>
              <c:f>Yhteenveto!$E$20:$E$22</c:f>
              <c:numCache>
                <c:formatCode>0</c:formatCode>
                <c:ptCount val="3"/>
                <c:pt idx="0">
                  <c:v>355.81358160179468</c:v>
                </c:pt>
                <c:pt idx="1">
                  <c:v>125.38251370305551</c:v>
                </c:pt>
                <c:pt idx="2">
                  <c:v>230.43106789873917</c:v>
                </c:pt>
              </c:numCache>
            </c:numRef>
          </c:val>
          <c:extLst>
            <c:ext xmlns:c16="http://schemas.microsoft.com/office/drawing/2014/chart" uri="{C3380CC4-5D6E-409C-BE32-E72D297353CC}">
              <c16:uniqueId val="{00000000-17BC-45E6-BCB1-8CAFCD592FEC}"/>
            </c:ext>
          </c:extLst>
        </c:ser>
        <c:dLbls>
          <c:showLegendKey val="0"/>
          <c:showVal val="0"/>
          <c:showCatName val="0"/>
          <c:showSerName val="0"/>
          <c:showPercent val="0"/>
          <c:showBubbleSize val="0"/>
        </c:dLbls>
        <c:gapWidth val="60"/>
        <c:axId val="593174096"/>
        <c:axId val="593171472"/>
      </c:barChart>
      <c:valAx>
        <c:axId val="5931714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i-FI"/>
          </a:p>
        </c:txPr>
        <c:crossAx val="593174096"/>
        <c:crosses val="autoZero"/>
        <c:crossBetween val="between"/>
      </c:valAx>
      <c:catAx>
        <c:axId val="59317409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i-FI"/>
          </a:p>
        </c:txPr>
        <c:crossAx val="593171472"/>
        <c:crosses val="autoZero"/>
        <c:auto val="1"/>
        <c:lblAlgn val="ctr"/>
        <c:lblOffset val="100"/>
        <c:noMultiLvlLbl val="0"/>
      </c:catAx>
      <c:spPr>
        <a:noFill/>
        <a:ln>
          <a:noFill/>
        </a:ln>
        <a:effectLst/>
      </c:spPr>
    </c:plotArea>
    <c:plotVisOnly val="1"/>
    <c:dispBlanksAs val="gap"/>
    <c:showDLblsOverMax val="0"/>
  </c:chart>
  <c:spPr>
    <a:solidFill>
      <a:schemeClr val="bg1"/>
    </a:solidFill>
    <a:ln w="22225" cap="flat" cmpd="sng" algn="ctr">
      <a:solidFill>
        <a:schemeClr val="bg1">
          <a:lumMod val="65000"/>
        </a:schemeClr>
      </a:solidFill>
      <a:round/>
    </a:ln>
    <a:effectLst/>
  </c:spPr>
  <c:txPr>
    <a:bodyPr/>
    <a:lstStyle/>
    <a:p>
      <a:pPr>
        <a:defRPr sz="1050" b="1"/>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6.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6350</xdr:colOff>
      <xdr:row>4</xdr:row>
      <xdr:rowOff>9526</xdr:rowOff>
    </xdr:from>
    <xdr:to>
      <xdr:col>10</xdr:col>
      <xdr:colOff>585787</xdr:colOff>
      <xdr:row>47</xdr:row>
      <xdr:rowOff>57150</xdr:rowOff>
    </xdr:to>
    <xdr:sp macro="" textlink="">
      <xdr:nvSpPr>
        <xdr:cNvPr id="13" name="Tekstiruutu 12">
          <a:extLst>
            <a:ext uri="{FF2B5EF4-FFF2-40B4-BE49-F238E27FC236}">
              <a16:creationId xmlns:a16="http://schemas.microsoft.com/office/drawing/2014/main" id="{166A5C4B-8148-40F9-9598-73D0382D6DE9}"/>
            </a:ext>
          </a:extLst>
        </xdr:cNvPr>
        <xdr:cNvSpPr txBox="1"/>
      </xdr:nvSpPr>
      <xdr:spPr>
        <a:xfrm>
          <a:off x="190500" y="796926"/>
          <a:ext cx="6211887" cy="7966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Tällä laskurilla voit laskea mille tahansa satokasville tuotantokustannuslaskelman. Syötä kysyttävät tiedot ja luvut sinisellä fontilla oleviin soluihin. Näihin soluihin kirjatut tiedot siirtyvät automaattisesti eteenpäin itse laskelmaan. Otsikointi ja mahdolliset lisähuomautukset laskentasolujen vieressä antavat sinulle ohjeet, mitä tietoja tarvitaan mihinkin kohtaan. Joissakin laskelman soluissa on yksityiskohtaisempia ohjeita, jotka saa näkyviin viemällä hiiren punaisten pikkukolmioiden päälle. Älä säikähdä, vaikka äkkiä saattaakin näyttää, että informaatiota ja täyteltävää on melkoisesti, laskelman tekeminen ei ole lainkaan vaikeaa! Laskelman eri osat on pilkottu omiksi osioikseen tekemisen sujuvoittamiseksi ja ajatusten rajaamiseksi yhteen teemaan kerrallaan. Muista pitää kahvitaukoja!</a:t>
          </a:r>
        </a:p>
        <a:p>
          <a:endParaRPr lang="fi-FI" sz="1100"/>
        </a:p>
        <a:p>
          <a:r>
            <a:rPr lang="fi-FI" sz="1100"/>
            <a:t>Laskelman tekemisessä kannattaa edetä välilehtien numeroinnin mukaan: 1. Peltoja ja viljelyalaa koskevat tiedot, 2. Sadon määrä ja laatu, 3. Koneluettelo, 4. Urakointi, 5. Rakennukset, 6. Työmenekki, 7. Laskelma-välilehdelle täytetään muuttuvat kulut ja muut tarkennukset. Näiden lisäksi löydät taulukosta Yhteenveto-välilehden, johon on koottu keskeiset tiedot laskelman lopputuloksesta. Kasvintuotantoon sitoutuneesta pääomasta on lisäksi koonti omalla välilehdellään. </a:t>
          </a:r>
        </a:p>
        <a:p>
          <a:endParaRPr lang="fi-FI" sz="1100"/>
        </a:p>
        <a:p>
          <a:r>
            <a:rPr lang="fi-FI" sz="1100"/>
            <a:t>Taustalla näkyy laskuriin tehty esimerkkilaskelma, antamassa mallia pohjan täyttämiseen. Kirjoita omat tietosi esimerkkilukujen päälle ja katso ettei esimerkiksi kone- tai rakennukset välilehdelle jää esimerkkilaskusta ylimääräisiä tietoja omaan laskelmaasi. Tarpeettomiin riveihin lukuja voi nollata, niitä ei tarvitse poistaa. Nollaa hankintahinta ja jäännösarvo sarakkeiden luvut tarpeettomissa riveissä. Huomaa, että Excelin luonteen takia kone- ja rakennusvälilehdillä saattaa joskus tulla #JAKO/0! herja vastaan, jos kaikki luvut nollataan. Laskenta ei toimi oikein, jos näet tällaisia ”nollaa ei voi jakaa nollalla” huomautuksia. Jätä jokin luku käyttöaika yht. vuotta sarakkeeseen, tällöin pääset herjasta eroon. </a:t>
          </a:r>
        </a:p>
        <a:p>
          <a:endParaRPr lang="fi-FI" sz="1100"/>
        </a:p>
        <a:p>
          <a:r>
            <a:rPr lang="fi-FI" sz="1100"/>
            <a:t>Laskelman kustannuksien jaottelu poikkeaa hieman perinteisestä, katelaskelmien tutusta muuttuvat – työ – kiinteät -jaottelusta. Kustannukset on jaoteltu niin, että koneista ja työstä aiheutuvat kustannukset on koottu yhteen nippuun. Tämä on tehty sen takia, että viljelytoimenpiteiden tekemisen kustannukset olisivat mahdollisimman vertailukelpoiset esim. omia koneita tai urakoitsijoita käyttävien tilojen kesken.</a:t>
          </a:r>
        </a:p>
        <a:p>
          <a:endParaRPr lang="fi-FI" sz="1100"/>
        </a:p>
        <a:p>
          <a:r>
            <a:rPr lang="fi-FI" sz="1100"/>
            <a:t>Kun kaikki välilehdet on täytetty, laskelma on valmis. Tulokset esitetään Laskelma-välilehden viimeisenä osana €/t. Voit tehdä vaihtoehtoisen version laskelmasta sarakkeisiin Vaihtoehto B ja Vaihtoehto C. Tee itsellesi erilaisia versioita sinua kiinnostavien muuttujien vaikutuksesta oman tilasi tuotantokustannukseen. Voit esim. simuloida kuinka satotason nostaminen vaikuttaa tuotantokustannukseen. Voit myös arvioida oman konekustannuksen ja suuruutta suhteessa siihen millä hinnalla urakoitsija hoitaisi viljelytoimenpiteet. Tallentamalla laskurista eri versioita voit myös laskea mitä koneketjujen muuttaminen vaikuttaisi tuotantokustannukseen. </a:t>
          </a:r>
        </a:p>
        <a:p>
          <a:endParaRPr lang="fi-FI" sz="1100"/>
        </a:p>
        <a:p>
          <a:r>
            <a:rPr lang="fi-FI" sz="1100"/>
            <a:t>Yhteenveto välilehdellä näet kätevästi lukuina ja kuvaajina oman tuotantokustannuksesi rakenteen. Tältä sivulta löydät myös linkin, jonka kautta toivomme sinun lähettäväsi laskelman tiedot eteenpäin meille tilastoitavaksi. Tietoja käsitellään anonyymisti ja niitä käytetään parantamaan käsitystä kotimaisen kasvintuotannon kustannuksista ja kustannusrakenteesta avuksi tulevaisuuden kehitystoimille ja kotimaisen tuotannon hyväksi. Lähettämällä laskelmasi tiedot meille, saat paluusähköpostissa yhteenvedon jo tehtyjen laskelmien tuloksista.</a:t>
          </a:r>
        </a:p>
        <a:p>
          <a:endParaRPr lang="fi-FI" sz="1100"/>
        </a:p>
      </xdr:txBody>
    </xdr:sp>
    <xdr:clientData/>
  </xdr:twoCellAnchor>
  <xdr:twoCellAnchor editAs="oneCell">
    <xdr:from>
      <xdr:col>8</xdr:col>
      <xdr:colOff>44450</xdr:colOff>
      <xdr:row>49</xdr:row>
      <xdr:rowOff>153281</xdr:rowOff>
    </xdr:from>
    <xdr:to>
      <xdr:col>10</xdr:col>
      <xdr:colOff>530225</xdr:colOff>
      <xdr:row>52</xdr:row>
      <xdr:rowOff>53745</xdr:rowOff>
    </xdr:to>
    <xdr:pic>
      <xdr:nvPicPr>
        <xdr:cNvPr id="15" name="Kuva 14">
          <a:extLst>
            <a:ext uri="{FF2B5EF4-FFF2-40B4-BE49-F238E27FC236}">
              <a16:creationId xmlns:a16="http://schemas.microsoft.com/office/drawing/2014/main" id="{57670EF8-F85F-4360-B99B-02652619D2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1850" y="9227431"/>
          <a:ext cx="1704975" cy="452914"/>
        </a:xfrm>
        <a:prstGeom prst="rect">
          <a:avLst/>
        </a:prstGeom>
      </xdr:spPr>
    </xdr:pic>
    <xdr:clientData/>
  </xdr:twoCellAnchor>
  <xdr:twoCellAnchor editAs="oneCell">
    <xdr:from>
      <xdr:col>1</xdr:col>
      <xdr:colOff>47626</xdr:colOff>
      <xdr:row>48</xdr:row>
      <xdr:rowOff>71434</xdr:rowOff>
    </xdr:from>
    <xdr:to>
      <xdr:col>2</xdr:col>
      <xdr:colOff>396063</xdr:colOff>
      <xdr:row>52</xdr:row>
      <xdr:rowOff>103184</xdr:rowOff>
    </xdr:to>
    <xdr:pic>
      <xdr:nvPicPr>
        <xdr:cNvPr id="16" name="Kuva 15">
          <a:extLst>
            <a:ext uri="{FF2B5EF4-FFF2-40B4-BE49-F238E27FC236}">
              <a16:creationId xmlns:a16="http://schemas.microsoft.com/office/drawing/2014/main" id="{DA36E453-D2FD-4BC7-ACD0-36C1FF0DB326}"/>
            </a:ext>
          </a:extLst>
        </xdr:cNvPr>
        <xdr:cNvPicPr>
          <a:picLocks noChangeAspect="1"/>
        </xdr:cNvPicPr>
      </xdr:nvPicPr>
      <xdr:blipFill rotWithShape="1">
        <a:blip xmlns:r="http://schemas.openxmlformats.org/officeDocument/2006/relationships" r:embed="rId2"/>
        <a:srcRect t="9690" b="6690"/>
        <a:stretch/>
      </xdr:blipFill>
      <xdr:spPr>
        <a:xfrm>
          <a:off x="231776" y="8961434"/>
          <a:ext cx="1104087" cy="768350"/>
        </a:xfrm>
        <a:prstGeom prst="rect">
          <a:avLst/>
        </a:prstGeom>
      </xdr:spPr>
    </xdr:pic>
    <xdr:clientData/>
  </xdr:twoCellAnchor>
  <xdr:twoCellAnchor editAs="oneCell">
    <xdr:from>
      <xdr:col>3</xdr:col>
      <xdr:colOff>342900</xdr:colOff>
      <xdr:row>49</xdr:row>
      <xdr:rowOff>177800</xdr:rowOff>
    </xdr:from>
    <xdr:to>
      <xdr:col>7</xdr:col>
      <xdr:colOff>266700</xdr:colOff>
      <xdr:row>52</xdr:row>
      <xdr:rowOff>1778</xdr:rowOff>
    </xdr:to>
    <xdr:pic>
      <xdr:nvPicPr>
        <xdr:cNvPr id="17" name="Kuva 16">
          <a:extLst>
            <a:ext uri="{FF2B5EF4-FFF2-40B4-BE49-F238E27FC236}">
              <a16:creationId xmlns:a16="http://schemas.microsoft.com/office/drawing/2014/main" id="{BC600740-EF45-49FF-B682-7524809F096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92300" y="9251950"/>
          <a:ext cx="2362200" cy="370078"/>
        </a:xfrm>
        <a:prstGeom prst="rect">
          <a:avLst/>
        </a:prstGeom>
      </xdr:spPr>
    </xdr:pic>
    <xdr:clientData/>
  </xdr:twoCellAnchor>
  <xdr:twoCellAnchor>
    <xdr:from>
      <xdr:col>1</xdr:col>
      <xdr:colOff>0</xdr:colOff>
      <xdr:row>57</xdr:row>
      <xdr:rowOff>0</xdr:rowOff>
    </xdr:from>
    <xdr:to>
      <xdr:col>10</xdr:col>
      <xdr:colOff>579437</xdr:colOff>
      <xdr:row>100</xdr:row>
      <xdr:rowOff>47624</xdr:rowOff>
    </xdr:to>
    <xdr:sp macro="" textlink="">
      <xdr:nvSpPr>
        <xdr:cNvPr id="6" name="Tekstiruutu 5">
          <a:extLst>
            <a:ext uri="{FF2B5EF4-FFF2-40B4-BE49-F238E27FC236}">
              <a16:creationId xmlns:a16="http://schemas.microsoft.com/office/drawing/2014/main" id="{9463E8B1-0982-467A-9544-27C029D5561E}"/>
            </a:ext>
          </a:extLst>
        </xdr:cNvPr>
        <xdr:cNvSpPr txBox="1"/>
      </xdr:nvSpPr>
      <xdr:spPr>
        <a:xfrm>
          <a:off x="184150" y="10547350"/>
          <a:ext cx="6211887" cy="7966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Valkuaista Pellosta, tuttavallisemmin VaPe-hanke, on A-Tuottajien, A-Rehun ja ProAgria Etelä-Pohjanmaan yhteinen kehityshanke. VaPe-hankkeessa keskitytään optimoimaan rehuviljan satoa ja laatua, erityisessä keskiössä valkuaispitoisuutta sekä viljelyn taloudellisuutta. </a:t>
          </a:r>
        </a:p>
        <a:p>
          <a:endParaRPr lang="fi-FI" sz="1100"/>
        </a:p>
        <a:p>
          <a:r>
            <a:rPr lang="fi-FI" sz="1100"/>
            <a:t>Oman tilan satokasvien tuotantokustannuksen tunteminen on keskeisessä roolissa, kun halutaan arvioida, onko tilan toiminta talousmielessä kestävällä tasolla tai kun halutaan tunnistaa missä kohtaa tarkalleen ottaen on kehitettävää. Tuotantokustannus nimensä mukaisesti tarkastelee, paljonko tietyn satokasvin omakustannehinta on ja jääkö satokasvin tuottamisesta palkkaa vai tappiota sekä sen suuruuden. Tuotantokustannuslaskenta tehdään ihanteellisesti vuosittain ja jokaiselle tuotetulle satotuotteelle. Kasvintuotannon kulurakenteen tunteminen auttaa kohdistamaan huomion oikeisiin osa-alueisiin, jos tuotannon kannattavuutta halutaan parantaa. </a:t>
          </a:r>
        </a:p>
        <a:p>
          <a:endParaRPr lang="fi-FI" sz="1100"/>
        </a:p>
        <a:p>
          <a:r>
            <a:rPr lang="fi-FI" sz="1100"/>
            <a:t>VaPe-hankkeen puitteissa Atria Naudan säilörehun tuotantokustannuslaskurista on luotu uusi kasvintuotannon tuotantokustannuksen laskemiseen räätälöity versio. Tämä laskuri on tehty kaikkien aiheesta kiinnostuneiden vapaaseen käyttöön. Jos jaat tai muokkaat tätä edelleen, muistathan kertoa laskurin alkuperän. Toivottavasti mahdollisimman moni tuottaja inspiroituu selvittämään eri satokasvien tuotantokustannuksen joko itsenäisesti, yhdessä asiantuntija kanssa, tai parhaimmillaan pienryhmässä yhdessä muiden tuottajien kanssa. Laskurin on luonut Tomi Karsikas Atrialta yhdessä Atrian alkutuotannon muiden asiantuntijoiden kanssa.</a:t>
          </a:r>
        </a:p>
        <a:p>
          <a:endParaRPr lang="fi-FI" sz="1100"/>
        </a:p>
      </xdr:txBody>
    </xdr:sp>
    <xdr:clientData/>
  </xdr:twoCellAnchor>
  <xdr:twoCellAnchor editAs="oneCell">
    <xdr:from>
      <xdr:col>8</xdr:col>
      <xdr:colOff>41274</xdr:colOff>
      <xdr:row>103</xdr:row>
      <xdr:rowOff>43747</xdr:rowOff>
    </xdr:from>
    <xdr:to>
      <xdr:col>10</xdr:col>
      <xdr:colOff>527049</xdr:colOff>
      <xdr:row>105</xdr:row>
      <xdr:rowOff>128361</xdr:rowOff>
    </xdr:to>
    <xdr:pic>
      <xdr:nvPicPr>
        <xdr:cNvPr id="7" name="Kuva 6">
          <a:extLst>
            <a:ext uri="{FF2B5EF4-FFF2-40B4-BE49-F238E27FC236}">
              <a16:creationId xmlns:a16="http://schemas.microsoft.com/office/drawing/2014/main" id="{1E96CB5E-C8A1-4FE1-83B4-3BADE232BF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8674" y="19061997"/>
          <a:ext cx="1704975" cy="452914"/>
        </a:xfrm>
        <a:prstGeom prst="rect">
          <a:avLst/>
        </a:prstGeom>
      </xdr:spPr>
    </xdr:pic>
    <xdr:clientData/>
  </xdr:twoCellAnchor>
  <xdr:twoCellAnchor editAs="oneCell">
    <xdr:from>
      <xdr:col>1</xdr:col>
      <xdr:colOff>44450</xdr:colOff>
      <xdr:row>101</xdr:row>
      <xdr:rowOff>146050</xdr:rowOff>
    </xdr:from>
    <xdr:to>
      <xdr:col>2</xdr:col>
      <xdr:colOff>392887</xdr:colOff>
      <xdr:row>106</xdr:row>
      <xdr:rowOff>0</xdr:rowOff>
    </xdr:to>
    <xdr:pic>
      <xdr:nvPicPr>
        <xdr:cNvPr id="8" name="Kuva 7">
          <a:extLst>
            <a:ext uri="{FF2B5EF4-FFF2-40B4-BE49-F238E27FC236}">
              <a16:creationId xmlns:a16="http://schemas.microsoft.com/office/drawing/2014/main" id="{074C05E5-109A-40E4-B8E5-56EAD34B9875}"/>
            </a:ext>
          </a:extLst>
        </xdr:cNvPr>
        <xdr:cNvPicPr>
          <a:picLocks noChangeAspect="1"/>
        </xdr:cNvPicPr>
      </xdr:nvPicPr>
      <xdr:blipFill rotWithShape="1">
        <a:blip xmlns:r="http://schemas.openxmlformats.org/officeDocument/2006/relationships" r:embed="rId2"/>
        <a:srcRect t="9690" b="6690"/>
        <a:stretch/>
      </xdr:blipFill>
      <xdr:spPr>
        <a:xfrm>
          <a:off x="228600" y="18796000"/>
          <a:ext cx="1104087" cy="768350"/>
        </a:xfrm>
        <a:prstGeom prst="rect">
          <a:avLst/>
        </a:prstGeom>
      </xdr:spPr>
    </xdr:pic>
    <xdr:clientData/>
  </xdr:twoCellAnchor>
  <xdr:twoCellAnchor editAs="oneCell">
    <xdr:from>
      <xdr:col>3</xdr:col>
      <xdr:colOff>339724</xdr:colOff>
      <xdr:row>103</xdr:row>
      <xdr:rowOff>68266</xdr:rowOff>
    </xdr:from>
    <xdr:to>
      <xdr:col>7</xdr:col>
      <xdr:colOff>263524</xdr:colOff>
      <xdr:row>105</xdr:row>
      <xdr:rowOff>70044</xdr:rowOff>
    </xdr:to>
    <xdr:pic>
      <xdr:nvPicPr>
        <xdr:cNvPr id="9" name="Kuva 8">
          <a:extLst>
            <a:ext uri="{FF2B5EF4-FFF2-40B4-BE49-F238E27FC236}">
              <a16:creationId xmlns:a16="http://schemas.microsoft.com/office/drawing/2014/main" id="{01F81BE3-51A1-40D8-A1D8-05E81487D97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89124" y="19086516"/>
          <a:ext cx="2362200" cy="3700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198438</xdr:colOff>
      <xdr:row>6</xdr:row>
      <xdr:rowOff>96838</xdr:rowOff>
    </xdr:from>
    <xdr:to>
      <xdr:col>14</xdr:col>
      <xdr:colOff>492125</xdr:colOff>
      <xdr:row>20</xdr:row>
      <xdr:rowOff>173038</xdr:rowOff>
    </xdr:to>
    <xdr:graphicFrame macro="">
      <xdr:nvGraphicFramePr>
        <xdr:cNvPr id="2" name="Kaavio 1">
          <a:extLst>
            <a:ext uri="{FF2B5EF4-FFF2-40B4-BE49-F238E27FC236}">
              <a16:creationId xmlns:a16="http://schemas.microsoft.com/office/drawing/2014/main" id="{BC4095B8-985B-44E4-B8BB-E465890791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579437</xdr:colOff>
      <xdr:row>6</xdr:row>
      <xdr:rowOff>103188</xdr:rowOff>
    </xdr:from>
    <xdr:to>
      <xdr:col>22</xdr:col>
      <xdr:colOff>261937</xdr:colOff>
      <xdr:row>20</xdr:row>
      <xdr:rowOff>179388</xdr:rowOff>
    </xdr:to>
    <xdr:graphicFrame macro="">
      <xdr:nvGraphicFramePr>
        <xdr:cNvPr id="3" name="Kaavio 2">
          <a:extLst>
            <a:ext uri="{FF2B5EF4-FFF2-40B4-BE49-F238E27FC236}">
              <a16:creationId xmlns:a16="http://schemas.microsoft.com/office/drawing/2014/main" id="{50E856CE-64F0-447B-AD62-D297536F4E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198437</xdr:colOff>
      <xdr:row>21</xdr:row>
      <xdr:rowOff>111125</xdr:rowOff>
    </xdr:from>
    <xdr:to>
      <xdr:col>14</xdr:col>
      <xdr:colOff>492124</xdr:colOff>
      <xdr:row>35</xdr:row>
      <xdr:rowOff>187325</xdr:rowOff>
    </xdr:to>
    <xdr:graphicFrame macro="">
      <xdr:nvGraphicFramePr>
        <xdr:cNvPr id="4" name="Kaavio 3">
          <a:extLst>
            <a:ext uri="{FF2B5EF4-FFF2-40B4-BE49-F238E27FC236}">
              <a16:creationId xmlns:a16="http://schemas.microsoft.com/office/drawing/2014/main" id="{8E8BBC8B-E5C1-4157-8F76-3B81DDBCDA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595312</xdr:colOff>
      <xdr:row>21</xdr:row>
      <xdr:rowOff>111125</xdr:rowOff>
    </xdr:from>
    <xdr:to>
      <xdr:col>22</xdr:col>
      <xdr:colOff>277812</xdr:colOff>
      <xdr:row>35</xdr:row>
      <xdr:rowOff>187325</xdr:rowOff>
    </xdr:to>
    <xdr:graphicFrame macro="">
      <xdr:nvGraphicFramePr>
        <xdr:cNvPr id="5" name="Kaavio 4">
          <a:extLst>
            <a:ext uri="{FF2B5EF4-FFF2-40B4-BE49-F238E27FC236}">
              <a16:creationId xmlns:a16="http://schemas.microsoft.com/office/drawing/2014/main" id="{BFCBC466-A536-41A4-9851-6F89157B01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147638</xdr:colOff>
      <xdr:row>25</xdr:row>
      <xdr:rowOff>174625</xdr:rowOff>
    </xdr:from>
    <xdr:to>
      <xdr:col>4</xdr:col>
      <xdr:colOff>357186</xdr:colOff>
      <xdr:row>53</xdr:row>
      <xdr:rowOff>34374</xdr:rowOff>
    </xdr:to>
    <xdr:pic>
      <xdr:nvPicPr>
        <xdr:cNvPr id="2" name="Kuva 1">
          <a:extLst>
            <a:ext uri="{FF2B5EF4-FFF2-40B4-BE49-F238E27FC236}">
              <a16:creationId xmlns:a16="http://schemas.microsoft.com/office/drawing/2014/main" id="{DFF0BC77-668E-403F-8CF5-EF87577F3F9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47638" y="4746625"/>
          <a:ext cx="5186361" cy="5193749"/>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khr.maanmittauslaitos.fi/tilastopalvelu/rest/API/kiinteistokauppojen-tilastopalvelu.html?v=1.2.0&amp;" TargetMode="External"/><Relationship Id="rId1" Type="http://schemas.openxmlformats.org/officeDocument/2006/relationships/hyperlink" Target="http://statdb.luke.fi/PXWeb/pxweb/fi/LUKE/LUKE__02%20Maatalous__06%20Talous__03%20Pellon%20vuokrahinnat/01_Pellon_vuokrahinnat.px/table/tableViewLayout2/?rxid=b554b79c-92fc-4084-848e-f8dcc554103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tts.fi/tutkimus_kehitys/hankkeet/maataloushankkeet/koneurakointi/konetyon_kustannukset_ja_tilastolliset_urakointihinnat"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9.bin"/><Relationship Id="rId1" Type="http://schemas.openxmlformats.org/officeDocument/2006/relationships/hyperlink" Target="https://www.lyyti.fi/reg/tuotantokustannustiedo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B2:K114"/>
  <sheetViews>
    <sheetView tabSelected="1" zoomScale="120" zoomScaleNormal="120" workbookViewId="0">
      <selection activeCell="I3" sqref="I3"/>
    </sheetView>
  </sheetViews>
  <sheetFormatPr defaultRowHeight="14.4" x14ac:dyDescent="0.3"/>
  <cols>
    <col min="1" max="1" width="2.6640625" customWidth="1"/>
    <col min="2" max="2" width="11" customWidth="1"/>
    <col min="3" max="11" width="8.88671875" customWidth="1"/>
    <col min="12" max="12" width="2.6640625" customWidth="1"/>
  </cols>
  <sheetData>
    <row r="2" spans="2:10" x14ac:dyDescent="0.3">
      <c r="I2" s="280">
        <v>44330</v>
      </c>
      <c r="J2" s="280"/>
    </row>
    <row r="3" spans="2:10" ht="18" x14ac:dyDescent="0.35">
      <c r="B3" s="5" t="s">
        <v>418</v>
      </c>
    </row>
    <row r="4" spans="2:10" ht="15" customHeight="1" x14ac:dyDescent="0.3"/>
    <row r="15" spans="2:10" x14ac:dyDescent="0.3">
      <c r="B15" s="97"/>
    </row>
    <row r="56" spans="2:2" ht="18" x14ac:dyDescent="0.35">
      <c r="B56" s="5" t="s">
        <v>419</v>
      </c>
    </row>
    <row r="111" spans="2:11" x14ac:dyDescent="0.3">
      <c r="B111" s="3" t="s">
        <v>196</v>
      </c>
      <c r="C111" s="3"/>
      <c r="D111" s="3" t="s">
        <v>197</v>
      </c>
      <c r="E111" s="3"/>
      <c r="F111" s="3"/>
      <c r="G111" s="3"/>
      <c r="H111" s="3"/>
      <c r="I111" s="3"/>
      <c r="J111" s="3"/>
      <c r="K111" s="3"/>
    </row>
    <row r="112" spans="2:11" x14ac:dyDescent="0.3">
      <c r="B112" s="128">
        <v>44180</v>
      </c>
      <c r="D112" t="s">
        <v>394</v>
      </c>
    </row>
    <row r="113" spans="2:4" x14ac:dyDescent="0.3">
      <c r="B113" s="128">
        <v>44330</v>
      </c>
      <c r="D113" t="s">
        <v>401</v>
      </c>
    </row>
    <row r="114" spans="2:4" x14ac:dyDescent="0.3">
      <c r="D114" t="s">
        <v>402</v>
      </c>
    </row>
  </sheetData>
  <mergeCells count="1">
    <mergeCell ref="I2:J2"/>
  </mergeCells>
  <pageMargins left="0.39370078740157483" right="0.39370078740157483" top="0.39370078740157483" bottom="0.39370078740157483" header="0.31496062992125984" footer="0.31496062992125984"/>
  <pageSetup paperSize="9" scale="98" orientation="portrait" r:id="rId1"/>
  <colBreaks count="1" manualBreakCount="1">
    <brk id="12"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B1:N30"/>
  <sheetViews>
    <sheetView zoomScale="120" zoomScaleNormal="120" workbookViewId="0">
      <selection activeCell="H26" sqref="H26"/>
    </sheetView>
  </sheetViews>
  <sheetFormatPr defaultRowHeight="14.4" x14ac:dyDescent="0.3"/>
  <cols>
    <col min="1" max="1" width="2.6640625" customWidth="1"/>
    <col min="2" max="2" width="18.33203125" customWidth="1"/>
    <col min="3" max="5" width="9.6640625" customWidth="1"/>
  </cols>
  <sheetData>
    <row r="1" spans="2:14" ht="21" x14ac:dyDescent="0.4">
      <c r="B1" s="23" t="s">
        <v>250</v>
      </c>
    </row>
    <row r="2" spans="2:14" x14ac:dyDescent="0.3">
      <c r="J2" s="4"/>
    </row>
    <row r="3" spans="2:14" x14ac:dyDescent="0.3">
      <c r="B3" s="34" t="s">
        <v>22</v>
      </c>
      <c r="C3" s="34" t="s">
        <v>20</v>
      </c>
      <c r="D3" s="34" t="str">
        <f>'1. Pelto'!E5</f>
        <v>Ohra</v>
      </c>
      <c r="E3" s="34" t="s">
        <v>255</v>
      </c>
      <c r="F3" s="34" t="s">
        <v>44</v>
      </c>
    </row>
    <row r="4" spans="2:14" x14ac:dyDescent="0.3">
      <c r="B4" s="2" t="s">
        <v>262</v>
      </c>
      <c r="C4" s="2"/>
      <c r="D4" s="187">
        <f>'1. Pelto'!E8</f>
        <v>60</v>
      </c>
      <c r="E4" s="188">
        <f>'1. Pelto'!E14</f>
        <v>60</v>
      </c>
      <c r="F4" s="187">
        <f>D4+E4</f>
        <v>120</v>
      </c>
    </row>
    <row r="5" spans="2:14" x14ac:dyDescent="0.3">
      <c r="B5" t="s">
        <v>149</v>
      </c>
      <c r="C5" s="14">
        <f>'1. Pelto'!E20</f>
        <v>5250</v>
      </c>
      <c r="D5" s="8">
        <f>'1. Pelto'!E16</f>
        <v>20</v>
      </c>
      <c r="E5" s="8">
        <f>F5-D5</f>
        <v>20</v>
      </c>
      <c r="F5" s="8">
        <f>'1. Pelto'!E11</f>
        <v>40</v>
      </c>
      <c r="N5" s="185"/>
    </row>
    <row r="6" spans="2:14" x14ac:dyDescent="0.3">
      <c r="B6" s="186" t="s">
        <v>283</v>
      </c>
      <c r="C6" s="14">
        <f>'1. Pelto'!E36</f>
        <v>1657.5</v>
      </c>
      <c r="D6" s="8">
        <f>'1. Pelto'!E25</f>
        <v>20</v>
      </c>
      <c r="E6" s="8">
        <f>F6-D6</f>
        <v>20</v>
      </c>
      <c r="F6" s="8">
        <f>'1. Pelto'!E24</f>
        <v>40</v>
      </c>
    </row>
    <row r="7" spans="2:14" x14ac:dyDescent="0.3">
      <c r="G7" s="14"/>
    </row>
    <row r="8" spans="2:14" x14ac:dyDescent="0.3">
      <c r="B8" s="53" t="s">
        <v>287</v>
      </c>
      <c r="C8" s="67"/>
      <c r="D8" s="67"/>
      <c r="E8" s="67"/>
      <c r="G8" s="14"/>
    </row>
    <row r="9" spans="2:14" x14ac:dyDescent="0.3">
      <c r="B9" s="34" t="s">
        <v>261</v>
      </c>
      <c r="C9" s="34" t="str">
        <f>'1. Pelto'!E5</f>
        <v>Ohra</v>
      </c>
      <c r="D9" s="34" t="s">
        <v>255</v>
      </c>
      <c r="E9" s="34" t="s">
        <v>44</v>
      </c>
      <c r="G9" s="14"/>
    </row>
    <row r="10" spans="2:14" x14ac:dyDescent="0.3">
      <c r="B10" t="s">
        <v>251</v>
      </c>
      <c r="C10" s="14">
        <f>C5*D5</f>
        <v>105000</v>
      </c>
      <c r="D10" s="14">
        <f>C5*E5</f>
        <v>105000</v>
      </c>
      <c r="E10" s="14">
        <f>C5*F5</f>
        <v>210000</v>
      </c>
      <c r="G10" s="14"/>
    </row>
    <row r="11" spans="2:14" x14ac:dyDescent="0.3">
      <c r="B11" t="s">
        <v>253</v>
      </c>
      <c r="C11" s="14">
        <f>C6*D6</f>
        <v>33150</v>
      </c>
      <c r="D11" s="14">
        <f>C6*E6</f>
        <v>33150</v>
      </c>
      <c r="E11" s="14">
        <f>C6*F6</f>
        <v>66300</v>
      </c>
      <c r="F11" s="186"/>
      <c r="G11" s="14"/>
      <c r="N11" s="9"/>
    </row>
    <row r="12" spans="2:14" x14ac:dyDescent="0.3">
      <c r="B12" t="s">
        <v>252</v>
      </c>
      <c r="C12" s="14">
        <f>'3. Koneet'!AA4</f>
        <v>145093.33333333331</v>
      </c>
      <c r="D12" s="14">
        <f>'3. Koneet'!AB4</f>
        <v>145093.33333333331</v>
      </c>
      <c r="E12" s="14">
        <f>'3. Koneet'!Z4</f>
        <v>290186.66666666663</v>
      </c>
      <c r="F12" s="186" t="s">
        <v>302</v>
      </c>
      <c r="G12" s="14"/>
      <c r="N12" s="9"/>
    </row>
    <row r="13" spans="2:14" x14ac:dyDescent="0.3">
      <c r="B13" t="s">
        <v>83</v>
      </c>
      <c r="C13" s="14">
        <f>'5. Rakennukset'!Q4</f>
        <v>195983.33333333334</v>
      </c>
      <c r="D13" s="14">
        <f>'5. Rakennukset'!R4</f>
        <v>195983.33333333334</v>
      </c>
      <c r="E13" s="14">
        <f>'5. Rakennukset'!P4</f>
        <v>391966.66666666669</v>
      </c>
      <c r="F13" s="186"/>
      <c r="G13" s="14"/>
      <c r="N13" s="9"/>
    </row>
    <row r="14" spans="2:14" x14ac:dyDescent="0.3">
      <c r="B14" s="6" t="s">
        <v>254</v>
      </c>
      <c r="C14" s="19">
        <f>'7. Laskelma'!B33</f>
        <v>13282.5</v>
      </c>
      <c r="D14" s="19"/>
      <c r="E14" s="19"/>
      <c r="F14" s="186" t="s">
        <v>285</v>
      </c>
    </row>
    <row r="15" spans="2:14" x14ac:dyDescent="0.3">
      <c r="B15" s="4" t="s">
        <v>44</v>
      </c>
      <c r="C15" s="39">
        <f>SUM(C10:C14)</f>
        <v>492509.16666666663</v>
      </c>
      <c r="D15" s="39">
        <f t="shared" ref="D15:E15" si="0">SUM(D10:D14)</f>
        <v>479226.66666666663</v>
      </c>
      <c r="E15" s="39">
        <f t="shared" si="0"/>
        <v>958453.33333333326</v>
      </c>
    </row>
    <row r="17" spans="2:7" x14ac:dyDescent="0.3">
      <c r="B17" s="53" t="s">
        <v>286</v>
      </c>
      <c r="C17" s="67"/>
      <c r="D17" s="67"/>
      <c r="E17" s="67"/>
    </row>
    <row r="18" spans="2:7" x14ac:dyDescent="0.3">
      <c r="B18" s="34" t="s">
        <v>261</v>
      </c>
      <c r="C18" s="34" t="str">
        <f>'1. Pelto'!E5</f>
        <v>Ohra</v>
      </c>
      <c r="D18" s="34" t="s">
        <v>255</v>
      </c>
      <c r="E18" s="34" t="s">
        <v>44</v>
      </c>
      <c r="G18" s="14"/>
    </row>
    <row r="19" spans="2:7" x14ac:dyDescent="0.3">
      <c r="B19" t="s">
        <v>251</v>
      </c>
      <c r="C19" s="14">
        <f>C10/D4</f>
        <v>1750</v>
      </c>
      <c r="D19" s="14">
        <f>D10/E4</f>
        <v>1750</v>
      </c>
      <c r="E19" s="14">
        <f>E10/F4</f>
        <v>1750</v>
      </c>
      <c r="G19" s="14"/>
    </row>
    <row r="20" spans="2:7" x14ac:dyDescent="0.3">
      <c r="B20" t="s">
        <v>253</v>
      </c>
      <c r="C20" s="14">
        <f>C11/D4</f>
        <v>552.5</v>
      </c>
      <c r="D20" s="14">
        <f>D11/E4</f>
        <v>552.5</v>
      </c>
      <c r="E20" s="14">
        <f>E11/F4</f>
        <v>552.5</v>
      </c>
      <c r="F20" s="186"/>
      <c r="G20" s="14"/>
    </row>
    <row r="21" spans="2:7" x14ac:dyDescent="0.3">
      <c r="B21" t="s">
        <v>252</v>
      </c>
      <c r="C21" s="14">
        <f>C12/D4</f>
        <v>2418.2222222222217</v>
      </c>
      <c r="D21" s="14">
        <f>D12/E4</f>
        <v>2418.2222222222217</v>
      </c>
      <c r="E21" s="14">
        <f>E12/F4</f>
        <v>2418.2222222222217</v>
      </c>
      <c r="F21" s="186" t="s">
        <v>302</v>
      </c>
      <c r="G21" s="14"/>
    </row>
    <row r="22" spans="2:7" x14ac:dyDescent="0.3">
      <c r="B22" t="s">
        <v>83</v>
      </c>
      <c r="C22" s="14">
        <f>C13/D4</f>
        <v>3266.3888888888891</v>
      </c>
      <c r="D22" s="14">
        <f>D13/E4</f>
        <v>3266.3888888888891</v>
      </c>
      <c r="E22" s="14">
        <f>E13/F4</f>
        <v>3266.3888888888891</v>
      </c>
      <c r="F22" s="186"/>
      <c r="G22" s="14"/>
    </row>
    <row r="23" spans="2:7" x14ac:dyDescent="0.3">
      <c r="B23" s="6" t="s">
        <v>254</v>
      </c>
      <c r="C23" s="19">
        <f>C14/D4</f>
        <v>221.375</v>
      </c>
      <c r="D23" s="19">
        <f>D14/E4</f>
        <v>0</v>
      </c>
      <c r="E23" s="19">
        <f>E14/F4</f>
        <v>0</v>
      </c>
    </row>
    <row r="24" spans="2:7" x14ac:dyDescent="0.3">
      <c r="B24" s="4" t="s">
        <v>44</v>
      </c>
      <c r="C24" s="39">
        <f>SUM(C19:C23)</f>
        <v>8208.4861111111113</v>
      </c>
      <c r="D24" s="39">
        <f t="shared" ref="D24:E24" si="1">SUM(D19:D23)</f>
        <v>7987.1111111111113</v>
      </c>
      <c r="E24" s="39">
        <f t="shared" si="1"/>
        <v>7987.1111111111113</v>
      </c>
    </row>
    <row r="26" spans="2:7" x14ac:dyDescent="0.3">
      <c r="B26" t="s">
        <v>148</v>
      </c>
      <c r="C26" s="70">
        <f>'7. Laskelma'!D7</f>
        <v>0.04</v>
      </c>
    </row>
    <row r="27" spans="2:7" x14ac:dyDescent="0.3">
      <c r="B27" s="257" t="s">
        <v>294</v>
      </c>
      <c r="C27" s="258">
        <f>C15*C26</f>
        <v>19700.366666666665</v>
      </c>
      <c r="D27" s="14">
        <f>D15*C26</f>
        <v>19169.066666666666</v>
      </c>
      <c r="E27" s="14">
        <f>E15*C26</f>
        <v>38338.133333333331</v>
      </c>
      <c r="F27" t="s">
        <v>400</v>
      </c>
    </row>
    <row r="28" spans="2:7" x14ac:dyDescent="0.3">
      <c r="B28" s="257" t="s">
        <v>398</v>
      </c>
      <c r="C28" s="259">
        <f>C27/'1. Pelto'!E8</f>
        <v>328.33944444444444</v>
      </c>
      <c r="F28" t="s">
        <v>20</v>
      </c>
    </row>
    <row r="29" spans="2:7" x14ac:dyDescent="0.3">
      <c r="B29" s="257" t="s">
        <v>399</v>
      </c>
      <c r="C29" s="259">
        <f>C28/('7. Laskelma'!H10/1000)</f>
        <v>71.846465780644309</v>
      </c>
      <c r="F29" t="s">
        <v>369</v>
      </c>
    </row>
    <row r="30" spans="2:7" x14ac:dyDescent="0.3">
      <c r="B30" t="s">
        <v>417</v>
      </c>
    </row>
  </sheetData>
  <sheetProtection sheet="1" objects="1" scenarios="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28"/>
  <sheetViews>
    <sheetView zoomScale="120" zoomScaleNormal="120" workbookViewId="0">
      <selection activeCell="C13" sqref="C13"/>
    </sheetView>
  </sheetViews>
  <sheetFormatPr defaultRowHeight="14.4" x14ac:dyDescent="0.3"/>
  <cols>
    <col min="1" max="1" width="2.5546875" customWidth="1"/>
    <col min="2" max="2" width="53.6640625" customWidth="1"/>
    <col min="16" max="16" width="10.6640625" bestFit="1" customWidth="1"/>
  </cols>
  <sheetData>
    <row r="2" spans="2:9" x14ac:dyDescent="0.3">
      <c r="B2" s="4" t="s">
        <v>60</v>
      </c>
    </row>
    <row r="4" spans="2:9" x14ac:dyDescent="0.3">
      <c r="B4" s="3" t="s">
        <v>62</v>
      </c>
      <c r="C4" s="22" t="s">
        <v>48</v>
      </c>
      <c r="D4" s="22" t="s">
        <v>49</v>
      </c>
      <c r="E4" s="22" t="s">
        <v>50</v>
      </c>
      <c r="F4" s="22" t="s">
        <v>51</v>
      </c>
      <c r="G4" s="22" t="s">
        <v>52</v>
      </c>
    </row>
    <row r="5" spans="2:9" x14ac:dyDescent="0.3">
      <c r="B5" t="s">
        <v>57</v>
      </c>
      <c r="C5" s="27">
        <v>121</v>
      </c>
      <c r="D5" s="27">
        <v>107</v>
      </c>
      <c r="E5" s="27">
        <v>107</v>
      </c>
      <c r="F5" s="27">
        <v>107</v>
      </c>
      <c r="G5" s="27">
        <v>107</v>
      </c>
      <c r="I5" s="32" t="s">
        <v>48</v>
      </c>
    </row>
    <row r="6" spans="2:9" x14ac:dyDescent="0.3">
      <c r="B6" t="s">
        <v>56</v>
      </c>
      <c r="C6" s="27">
        <v>75</v>
      </c>
      <c r="D6" s="27">
        <v>65</v>
      </c>
      <c r="E6" s="27">
        <v>65</v>
      </c>
      <c r="F6" s="27">
        <v>65</v>
      </c>
      <c r="G6" s="27">
        <v>65</v>
      </c>
      <c r="I6" s="32" t="s">
        <v>49</v>
      </c>
    </row>
    <row r="7" spans="2:9" x14ac:dyDescent="0.3">
      <c r="B7" t="s">
        <v>53</v>
      </c>
      <c r="C7" s="27">
        <v>217</v>
      </c>
      <c r="D7" s="27">
        <v>242</v>
      </c>
      <c r="E7" s="27">
        <v>242</v>
      </c>
      <c r="F7" s="27">
        <v>242</v>
      </c>
      <c r="G7" s="27">
        <v>242</v>
      </c>
      <c r="I7" s="32" t="s">
        <v>50</v>
      </c>
    </row>
    <row r="8" spans="2:9" x14ac:dyDescent="0.3">
      <c r="B8" t="s">
        <v>54</v>
      </c>
      <c r="C8" s="27">
        <v>60</v>
      </c>
      <c r="D8" s="27">
        <v>60</v>
      </c>
      <c r="E8" s="27">
        <v>60</v>
      </c>
      <c r="F8" s="27">
        <v>60</v>
      </c>
      <c r="G8" s="27">
        <v>60</v>
      </c>
      <c r="I8" s="32" t="s">
        <v>51</v>
      </c>
    </row>
    <row r="9" spans="2:9" x14ac:dyDescent="0.3">
      <c r="B9" t="s">
        <v>55</v>
      </c>
      <c r="C9" s="27"/>
      <c r="D9" s="27"/>
      <c r="E9" s="27">
        <v>10</v>
      </c>
      <c r="F9" s="27">
        <v>30</v>
      </c>
      <c r="G9" s="27">
        <v>50</v>
      </c>
      <c r="I9" s="32" t="s">
        <v>52</v>
      </c>
    </row>
    <row r="10" spans="2:9" x14ac:dyDescent="0.3">
      <c r="B10" t="s">
        <v>58</v>
      </c>
      <c r="C10" s="27">
        <v>54</v>
      </c>
      <c r="D10" s="27">
        <v>54</v>
      </c>
      <c r="E10" s="27">
        <v>54</v>
      </c>
      <c r="F10" s="27">
        <v>54</v>
      </c>
      <c r="G10" s="27">
        <v>54</v>
      </c>
    </row>
    <row r="11" spans="2:9" x14ac:dyDescent="0.3">
      <c r="B11" t="s">
        <v>212</v>
      </c>
      <c r="C11" s="27">
        <v>40</v>
      </c>
      <c r="D11" s="27">
        <v>40</v>
      </c>
      <c r="E11" s="27">
        <v>40</v>
      </c>
      <c r="F11" s="27">
        <v>40</v>
      </c>
      <c r="G11" s="27">
        <v>40</v>
      </c>
    </row>
    <row r="12" spans="2:9" x14ac:dyDescent="0.3">
      <c r="B12" t="s">
        <v>213</v>
      </c>
      <c r="C12" s="27">
        <v>54</v>
      </c>
      <c r="D12" s="27">
        <v>11</v>
      </c>
      <c r="E12" s="27">
        <v>11</v>
      </c>
      <c r="F12" s="27">
        <v>11</v>
      </c>
      <c r="G12" s="27">
        <v>11</v>
      </c>
    </row>
    <row r="13" spans="2:9" x14ac:dyDescent="0.3">
      <c r="B13" t="s">
        <v>214</v>
      </c>
      <c r="C13" s="27"/>
      <c r="D13" s="27"/>
      <c r="E13" s="27"/>
      <c r="F13" s="27"/>
      <c r="G13" s="27"/>
    </row>
    <row r="14" spans="2:9" x14ac:dyDescent="0.3">
      <c r="B14" t="s">
        <v>216</v>
      </c>
      <c r="C14" s="27">
        <v>54</v>
      </c>
      <c r="D14" s="27">
        <v>54</v>
      </c>
      <c r="E14" s="27">
        <v>54</v>
      </c>
      <c r="F14" s="27">
        <v>54</v>
      </c>
      <c r="G14" s="27">
        <v>54</v>
      </c>
    </row>
    <row r="15" spans="2:9" x14ac:dyDescent="0.3">
      <c r="B15" s="11" t="s">
        <v>215</v>
      </c>
      <c r="C15" s="30"/>
      <c r="D15" s="30">
        <v>50</v>
      </c>
      <c r="E15" s="30">
        <v>50</v>
      </c>
      <c r="F15" s="30">
        <v>50</v>
      </c>
      <c r="G15" s="30">
        <v>50</v>
      </c>
    </row>
    <row r="16" spans="2:9" x14ac:dyDescent="0.3">
      <c r="B16" s="6" t="s">
        <v>59</v>
      </c>
      <c r="C16" s="29">
        <v>294</v>
      </c>
      <c r="D16" s="29">
        <v>294</v>
      </c>
      <c r="E16" s="29">
        <v>294</v>
      </c>
      <c r="F16" s="29">
        <v>294</v>
      </c>
      <c r="G16" s="29">
        <v>294</v>
      </c>
    </row>
    <row r="17" spans="2:7" x14ac:dyDescent="0.3">
      <c r="B17" s="4" t="s">
        <v>44</v>
      </c>
      <c r="C17" s="127">
        <f>SUM(C5:C16)</f>
        <v>969</v>
      </c>
      <c r="D17" s="127">
        <f>SUM(D5:D16)</f>
        <v>977</v>
      </c>
      <c r="E17" s="127">
        <f>SUM(E5:E16)</f>
        <v>987</v>
      </c>
      <c r="F17" s="127">
        <f>SUM(F5:F16)</f>
        <v>1007</v>
      </c>
      <c r="G17" s="127">
        <f>SUM(G5:G16)</f>
        <v>1027</v>
      </c>
    </row>
    <row r="20" spans="2:7" x14ac:dyDescent="0.3">
      <c r="B20" s="3" t="s">
        <v>61</v>
      </c>
      <c r="C20" s="3" t="s">
        <v>97</v>
      </c>
      <c r="D20" s="3" t="s">
        <v>98</v>
      </c>
    </row>
    <row r="21" spans="2:7" x14ac:dyDescent="0.3">
      <c r="B21" s="28" t="s">
        <v>96</v>
      </c>
      <c r="C21" s="60">
        <v>40</v>
      </c>
      <c r="D21" s="60">
        <v>40</v>
      </c>
    </row>
    <row r="22" spans="2:7" x14ac:dyDescent="0.3">
      <c r="B22" s="28" t="s">
        <v>92</v>
      </c>
      <c r="C22" s="60">
        <v>4</v>
      </c>
      <c r="D22" s="60">
        <v>4</v>
      </c>
    </row>
    <row r="23" spans="2:7" x14ac:dyDescent="0.3">
      <c r="B23" s="28" t="s">
        <v>93</v>
      </c>
      <c r="C23" s="60">
        <v>9</v>
      </c>
      <c r="D23" s="60">
        <v>18</v>
      </c>
    </row>
    <row r="24" spans="2:7" x14ac:dyDescent="0.3">
      <c r="B24" s="28" t="s">
        <v>94</v>
      </c>
      <c r="C24" s="60">
        <v>11</v>
      </c>
      <c r="D24" s="60">
        <v>36</v>
      </c>
    </row>
    <row r="25" spans="2:7" x14ac:dyDescent="0.3">
      <c r="B25" s="28" t="s">
        <v>95</v>
      </c>
      <c r="C25" s="60">
        <v>11</v>
      </c>
      <c r="D25" s="60">
        <v>54</v>
      </c>
    </row>
    <row r="26" spans="2:7" x14ac:dyDescent="0.3">
      <c r="C26" s="31"/>
    </row>
    <row r="27" spans="2:7" x14ac:dyDescent="0.3">
      <c r="C27" s="31"/>
    </row>
    <row r="28" spans="2:7" x14ac:dyDescent="0.3">
      <c r="C28" s="31"/>
    </row>
  </sheetData>
  <printOptions gridLines="1"/>
  <pageMargins left="0.39370078740157483" right="0.39370078740157483" top="0.39370078740157483" bottom="0.3937007874015748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A1:X152"/>
  <sheetViews>
    <sheetView zoomScale="120" zoomScaleNormal="120" workbookViewId="0">
      <selection activeCell="E6" sqref="E6"/>
    </sheetView>
  </sheetViews>
  <sheetFormatPr defaultRowHeight="14.4" x14ac:dyDescent="0.3"/>
  <cols>
    <col min="1" max="1" width="3.44140625" customWidth="1"/>
    <col min="2" max="2" width="50.44140625" customWidth="1"/>
    <col min="3" max="3" width="11" bestFit="1" customWidth="1"/>
    <col min="5" max="5" width="11" bestFit="1" customWidth="1"/>
  </cols>
  <sheetData>
    <row r="1" spans="2:8" x14ac:dyDescent="0.3">
      <c r="B1" s="28" t="s">
        <v>202</v>
      </c>
    </row>
    <row r="2" spans="2:8" ht="21" x14ac:dyDescent="0.4">
      <c r="B2" s="23" t="s">
        <v>160</v>
      </c>
      <c r="H2" s="4" t="s">
        <v>200</v>
      </c>
    </row>
    <row r="3" spans="2:8" ht="18" x14ac:dyDescent="0.35">
      <c r="B3" s="5"/>
    </row>
    <row r="4" spans="2:8" x14ac:dyDescent="0.3">
      <c r="B4" s="33" t="s">
        <v>211</v>
      </c>
      <c r="C4" s="103"/>
      <c r="D4" s="103"/>
      <c r="E4" s="103"/>
      <c r="F4" s="33"/>
      <c r="G4" s="132"/>
      <c r="H4" s="4" t="s">
        <v>199</v>
      </c>
    </row>
    <row r="5" spans="2:8" x14ac:dyDescent="0.3">
      <c r="B5" t="s">
        <v>198</v>
      </c>
      <c r="E5" s="129" t="s">
        <v>308</v>
      </c>
      <c r="G5" s="132"/>
      <c r="H5" t="s">
        <v>320</v>
      </c>
    </row>
    <row r="6" spans="2:8" x14ac:dyDescent="0.3">
      <c r="B6" s="49" t="str">
        <f>CONCATENATE(E5,"n viljelyala omassa tukihakemuksessa olevilla pelloilla")</f>
        <v>Ohran viljelyala omassa tukihakemuksessa olevilla pelloilla</v>
      </c>
      <c r="C6" s="16"/>
      <c r="D6" s="98">
        <f>E6/E8</f>
        <v>1</v>
      </c>
      <c r="E6" s="130">
        <v>60</v>
      </c>
      <c r="F6" s="16" t="s">
        <v>66</v>
      </c>
      <c r="G6" s="140"/>
    </row>
    <row r="7" spans="2:8" x14ac:dyDescent="0.3">
      <c r="B7" s="49" t="str">
        <f>CONCATENATE(E5,"n viljelyala, joka ei ole  omassa tukihakemuksessa")</f>
        <v>Ohran viljelyala, joka ei ole  omassa tukihakemuksessa</v>
      </c>
      <c r="C7" s="16"/>
      <c r="D7" s="98">
        <f>E7/E8</f>
        <v>0</v>
      </c>
      <c r="E7" s="130">
        <v>0</v>
      </c>
      <c r="F7" s="16" t="s">
        <v>66</v>
      </c>
      <c r="G7" s="140"/>
      <c r="H7" t="s">
        <v>321</v>
      </c>
    </row>
    <row r="8" spans="2:8" x14ac:dyDescent="0.3">
      <c r="B8" s="100" t="str">
        <f>CONCATENATE(E5,"n viljelyala yhteensä")</f>
        <v>Ohran viljelyala yhteensä</v>
      </c>
      <c r="C8" s="101"/>
      <c r="D8" s="101"/>
      <c r="E8" s="102">
        <f>SUM(E6:E7)</f>
        <v>60</v>
      </c>
      <c r="F8" s="101" t="s">
        <v>66</v>
      </c>
      <c r="G8" s="141"/>
      <c r="H8" t="s">
        <v>322</v>
      </c>
    </row>
    <row r="9" spans="2:8" x14ac:dyDescent="0.3">
      <c r="B9" s="99"/>
      <c r="G9" s="132"/>
    </row>
    <row r="10" spans="2:8" x14ac:dyDescent="0.3">
      <c r="B10" s="33" t="s">
        <v>201</v>
      </c>
      <c r="C10" s="103"/>
      <c r="D10" s="103"/>
      <c r="E10" s="103"/>
      <c r="F10" s="33"/>
      <c r="G10" s="132"/>
      <c r="H10" s="4" t="s">
        <v>154</v>
      </c>
    </row>
    <row r="11" spans="2:8" x14ac:dyDescent="0.3">
      <c r="B11" s="11" t="s">
        <v>149</v>
      </c>
      <c r="C11" s="16"/>
      <c r="D11" s="104">
        <f>E11/E13</f>
        <v>0.33333333333333331</v>
      </c>
      <c r="E11" s="131">
        <v>40</v>
      </c>
      <c r="F11" s="11" t="s">
        <v>66</v>
      </c>
      <c r="G11" s="142"/>
      <c r="H11" t="s">
        <v>203</v>
      </c>
    </row>
    <row r="12" spans="2:8" x14ac:dyDescent="0.3">
      <c r="B12" s="11" t="s">
        <v>150</v>
      </c>
      <c r="C12" s="16"/>
      <c r="D12" s="104">
        <f>E12/E13</f>
        <v>0.66666666666666663</v>
      </c>
      <c r="E12" s="131">
        <v>80</v>
      </c>
      <c r="F12" s="11" t="s">
        <v>66</v>
      </c>
      <c r="G12" s="142"/>
      <c r="H12" t="s">
        <v>204</v>
      </c>
    </row>
    <row r="13" spans="2:8" x14ac:dyDescent="0.3">
      <c r="B13" s="1" t="s">
        <v>151</v>
      </c>
      <c r="C13" s="101"/>
      <c r="D13" s="101"/>
      <c r="E13" s="13">
        <f>E11+E12</f>
        <v>120</v>
      </c>
      <c r="F13" s="1" t="s">
        <v>66</v>
      </c>
      <c r="G13" s="138"/>
      <c r="H13" t="s">
        <v>205</v>
      </c>
    </row>
    <row r="14" spans="2:8" x14ac:dyDescent="0.3">
      <c r="B14" s="71" t="str">
        <f>CONCATENATE("Muuhun kuin ",E5,"n viljelyyn jää")</f>
        <v>Muuhun kuin Ohran viljelyyn jää</v>
      </c>
      <c r="C14" s="16"/>
      <c r="D14" s="16"/>
      <c r="E14" s="96">
        <f>E13-E6</f>
        <v>60</v>
      </c>
      <c r="F14" s="71" t="s">
        <v>66</v>
      </c>
      <c r="G14" s="132"/>
    </row>
    <row r="15" spans="2:8" x14ac:dyDescent="0.3">
      <c r="B15" s="71"/>
      <c r="C15" s="16"/>
      <c r="D15" s="16"/>
      <c r="E15" s="96"/>
      <c r="F15" s="71"/>
      <c r="G15" s="132"/>
    </row>
    <row r="16" spans="2:8" x14ac:dyDescent="0.3">
      <c r="B16" t="str">
        <f>CONCATENATE(E5,"n viljelyalasta omaa peltoa keskimäärin")</f>
        <v>Ohran viljelyalasta omaa peltoa keskimäärin</v>
      </c>
      <c r="D16" s="217">
        <f>D11</f>
        <v>0.33333333333333331</v>
      </c>
      <c r="E16" s="8">
        <f>E6*D11</f>
        <v>20</v>
      </c>
      <c r="F16" s="11" t="s">
        <v>66</v>
      </c>
      <c r="G16" s="132"/>
    </row>
    <row r="17" spans="2:11" x14ac:dyDescent="0.3">
      <c r="B17" t="str">
        <f>CONCATENATE(E5,"n viljelyalasta vuokrapeltoa keskimäärin")</f>
        <v>Ohran viljelyalasta vuokrapeltoa keskimäärin</v>
      </c>
      <c r="D17" s="217">
        <f>D12</f>
        <v>0.66666666666666663</v>
      </c>
      <c r="E17" s="8">
        <f>E6*D12</f>
        <v>40</v>
      </c>
      <c r="F17" s="11" t="s">
        <v>66</v>
      </c>
      <c r="G17" s="132"/>
    </row>
    <row r="18" spans="2:11" x14ac:dyDescent="0.3">
      <c r="E18" s="132"/>
      <c r="G18" s="132"/>
    </row>
    <row r="19" spans="2:11" x14ac:dyDescent="0.3">
      <c r="B19" t="s">
        <v>89</v>
      </c>
      <c r="E19" s="129" t="s">
        <v>118</v>
      </c>
      <c r="G19" s="132"/>
    </row>
    <row r="20" spans="2:11" x14ac:dyDescent="0.3">
      <c r="B20" t="s">
        <v>155</v>
      </c>
      <c r="C20" s="16"/>
      <c r="D20" s="16"/>
      <c r="E20" s="133">
        <f>VLOOKUP(E19,B78:F95,5,0)</f>
        <v>5250</v>
      </c>
      <c r="F20" t="s">
        <v>20</v>
      </c>
      <c r="G20" s="143"/>
      <c r="H20" t="s">
        <v>158</v>
      </c>
    </row>
    <row r="21" spans="2:11" x14ac:dyDescent="0.3">
      <c r="B21" t="s">
        <v>210</v>
      </c>
      <c r="C21" s="16"/>
      <c r="D21" s="16"/>
      <c r="E21" s="133">
        <f>VLOOKUP(E19,B76:J95,9,0)</f>
        <v>171</v>
      </c>
      <c r="F21" t="s">
        <v>20</v>
      </c>
      <c r="G21" s="143"/>
      <c r="H21" t="s">
        <v>156</v>
      </c>
    </row>
    <row r="22" spans="2:11" x14ac:dyDescent="0.3">
      <c r="E22" s="132"/>
      <c r="G22" s="132"/>
    </row>
    <row r="23" spans="2:11" x14ac:dyDescent="0.3">
      <c r="B23" s="33" t="s">
        <v>304</v>
      </c>
      <c r="C23" s="103"/>
      <c r="D23" s="103"/>
      <c r="E23" s="103"/>
      <c r="F23" s="33"/>
      <c r="G23" s="132"/>
      <c r="H23" s="4" t="s">
        <v>379</v>
      </c>
    </row>
    <row r="24" spans="2:11" x14ac:dyDescent="0.3">
      <c r="B24" t="s">
        <v>284</v>
      </c>
      <c r="C24" s="16"/>
      <c r="D24" s="98">
        <f>E24/E13</f>
        <v>0.33333333333333331</v>
      </c>
      <c r="E24" s="134">
        <f>E11</f>
        <v>40</v>
      </c>
      <c r="F24" t="s">
        <v>66</v>
      </c>
      <c r="G24" s="144"/>
      <c r="H24" t="s">
        <v>380</v>
      </c>
    </row>
    <row r="25" spans="2:11" x14ac:dyDescent="0.3">
      <c r="B25" t="str">
        <f>CONCATENATE(E5,"n viljelyalasta itse salaojitettua keskimäärin")</f>
        <v>Ohran viljelyalasta itse salaojitettua keskimäärin</v>
      </c>
      <c r="D25" s="98">
        <f>E25/E6</f>
        <v>0.33333333333333331</v>
      </c>
      <c r="E25" s="8">
        <f>E6*D24</f>
        <v>20</v>
      </c>
      <c r="F25" t="s">
        <v>66</v>
      </c>
      <c r="G25" s="132"/>
      <c r="H25" t="s">
        <v>280</v>
      </c>
    </row>
    <row r="26" spans="2:11" x14ac:dyDescent="0.3">
      <c r="E26" s="8"/>
      <c r="G26" s="132"/>
    </row>
    <row r="27" spans="2:11" x14ac:dyDescent="0.3">
      <c r="B27" t="s">
        <v>256</v>
      </c>
      <c r="E27" s="133">
        <v>3000</v>
      </c>
      <c r="F27" t="s">
        <v>20</v>
      </c>
      <c r="G27" s="132"/>
      <c r="H27" s="132" t="s">
        <v>281</v>
      </c>
      <c r="I27" s="132"/>
      <c r="J27" s="132"/>
      <c r="K27" s="132"/>
    </row>
    <row r="28" spans="2:11" x14ac:dyDescent="0.3">
      <c r="B28" t="s">
        <v>257</v>
      </c>
      <c r="E28" s="189">
        <v>0.35</v>
      </c>
      <c r="G28" s="132"/>
      <c r="H28" s="132" t="s">
        <v>280</v>
      </c>
      <c r="I28" s="132"/>
      <c r="J28" s="132"/>
      <c r="K28" s="132"/>
    </row>
    <row r="29" spans="2:11" x14ac:dyDescent="0.3">
      <c r="B29" t="s">
        <v>295</v>
      </c>
      <c r="E29" s="133">
        <v>6</v>
      </c>
      <c r="F29" t="s">
        <v>260</v>
      </c>
      <c r="G29" s="132"/>
      <c r="H29" s="132"/>
      <c r="I29" s="132"/>
      <c r="J29" s="132"/>
      <c r="K29" s="132"/>
    </row>
    <row r="30" spans="2:11" x14ac:dyDescent="0.3">
      <c r="B30" t="s">
        <v>259</v>
      </c>
      <c r="E30" s="133">
        <v>40</v>
      </c>
      <c r="F30" t="s">
        <v>260</v>
      </c>
    </row>
    <row r="31" spans="2:11" x14ac:dyDescent="0.3">
      <c r="E31" s="133"/>
    </row>
    <row r="32" spans="2:11" x14ac:dyDescent="0.3">
      <c r="B32" t="s">
        <v>257</v>
      </c>
      <c r="E32">
        <f>E27*E28</f>
        <v>1050</v>
      </c>
      <c r="F32" t="s">
        <v>20</v>
      </c>
    </row>
    <row r="33" spans="2:8" x14ac:dyDescent="0.3">
      <c r="B33" t="s">
        <v>258</v>
      </c>
      <c r="E33" s="14">
        <f>E27-E32</f>
        <v>1950</v>
      </c>
      <c r="F33" t="s">
        <v>20</v>
      </c>
    </row>
    <row r="34" spans="2:8" x14ac:dyDescent="0.3">
      <c r="B34" t="s">
        <v>264</v>
      </c>
      <c r="E34" s="14">
        <f>E33*E24</f>
        <v>78000</v>
      </c>
      <c r="F34" t="s">
        <v>2</v>
      </c>
    </row>
    <row r="36" spans="2:8" x14ac:dyDescent="0.3">
      <c r="B36" t="s">
        <v>298</v>
      </c>
      <c r="E36" s="14">
        <f>IF(E24=0,0,E37/E24)</f>
        <v>1657.5</v>
      </c>
      <c r="F36" t="s">
        <v>20</v>
      </c>
    </row>
    <row r="37" spans="2:8" x14ac:dyDescent="0.3">
      <c r="B37" t="s">
        <v>298</v>
      </c>
      <c r="E37" s="14">
        <f>'5. Rakennukset'!P8</f>
        <v>66300</v>
      </c>
      <c r="F37" t="s">
        <v>2</v>
      </c>
    </row>
    <row r="38" spans="2:8" x14ac:dyDescent="0.3">
      <c r="G38" s="132"/>
    </row>
    <row r="39" spans="2:8" x14ac:dyDescent="0.3">
      <c r="B39" s="33" t="s">
        <v>370</v>
      </c>
      <c r="C39" s="103"/>
      <c r="D39" s="103"/>
      <c r="E39" s="103"/>
      <c r="F39" s="33"/>
      <c r="G39" s="132"/>
      <c r="H39" s="4" t="s">
        <v>157</v>
      </c>
    </row>
    <row r="40" spans="2:8" x14ac:dyDescent="0.3">
      <c r="B40" s="49" t="s">
        <v>45</v>
      </c>
      <c r="C40" s="26"/>
      <c r="D40" s="26"/>
      <c r="E40" s="135" t="s">
        <v>50</v>
      </c>
      <c r="G40" s="132"/>
      <c r="H40" t="s">
        <v>221</v>
      </c>
    </row>
    <row r="41" spans="2:8" x14ac:dyDescent="0.3">
      <c r="B41" t="s">
        <v>219</v>
      </c>
      <c r="E41">
        <f>E13</f>
        <v>120</v>
      </c>
      <c r="F41" t="s">
        <v>66</v>
      </c>
      <c r="G41" s="132"/>
      <c r="H41" t="s">
        <v>222</v>
      </c>
    </row>
    <row r="42" spans="2:8" x14ac:dyDescent="0.3">
      <c r="B42" s="49"/>
      <c r="C42" s="26"/>
      <c r="D42" s="26"/>
      <c r="E42" s="80"/>
      <c r="G42" s="132"/>
    </row>
    <row r="43" spans="2:8" x14ac:dyDescent="0.3">
      <c r="B43" s="3" t="s">
        <v>218</v>
      </c>
      <c r="C43" s="136" t="s">
        <v>20</v>
      </c>
      <c r="D43" s="136" t="s">
        <v>66</v>
      </c>
      <c r="E43" s="57" t="s">
        <v>2</v>
      </c>
      <c r="G43" s="132"/>
      <c r="H43" t="s">
        <v>220</v>
      </c>
    </row>
    <row r="44" spans="2:8" x14ac:dyDescent="0.3">
      <c r="B44" t="s">
        <v>57</v>
      </c>
      <c r="C44" s="132">
        <f>HLOOKUP(E40,Tuet!C4:G16,2,0)</f>
        <v>107</v>
      </c>
      <c r="D44" s="137">
        <f t="shared" ref="D44:D51" si="0">$E$41</f>
        <v>120</v>
      </c>
      <c r="E44" s="14">
        <f t="shared" ref="E44:E49" si="1">C44*D44</f>
        <v>12840</v>
      </c>
      <c r="G44" s="132"/>
      <c r="H44" t="s">
        <v>305</v>
      </c>
    </row>
    <row r="45" spans="2:8" x14ac:dyDescent="0.3">
      <c r="B45" t="s">
        <v>56</v>
      </c>
      <c r="C45" s="132">
        <f>HLOOKUP(E40,Tuet!C4:G16,3,0)</f>
        <v>65</v>
      </c>
      <c r="D45" s="137">
        <f t="shared" si="0"/>
        <v>120</v>
      </c>
      <c r="E45" s="14">
        <f t="shared" si="1"/>
        <v>7800</v>
      </c>
      <c r="G45" s="132"/>
      <c r="H45" t="s">
        <v>378</v>
      </c>
    </row>
    <row r="46" spans="2:8" x14ac:dyDescent="0.3">
      <c r="B46" t="s">
        <v>53</v>
      </c>
      <c r="C46" s="132">
        <f>HLOOKUP(E40,Tuet!C4:G16,4,0)</f>
        <v>242</v>
      </c>
      <c r="D46" s="137">
        <f t="shared" si="0"/>
        <v>120</v>
      </c>
      <c r="E46" s="14">
        <f t="shared" si="1"/>
        <v>29040</v>
      </c>
      <c r="G46" s="132"/>
    </row>
    <row r="47" spans="2:8" x14ac:dyDescent="0.3">
      <c r="B47" t="s">
        <v>54</v>
      </c>
      <c r="C47" s="132">
        <f>HLOOKUP(E40,Tuet!C4:G16,5,0)</f>
        <v>60</v>
      </c>
      <c r="D47" s="137">
        <f t="shared" si="0"/>
        <v>120</v>
      </c>
      <c r="E47" s="14">
        <f t="shared" si="1"/>
        <v>7200</v>
      </c>
      <c r="G47" s="132"/>
      <c r="H47" t="s">
        <v>306</v>
      </c>
    </row>
    <row r="48" spans="2:8" x14ac:dyDescent="0.3">
      <c r="B48" t="s">
        <v>323</v>
      </c>
      <c r="C48" s="132">
        <v>100</v>
      </c>
      <c r="D48" s="137">
        <v>0</v>
      </c>
      <c r="E48" s="14">
        <f t="shared" si="1"/>
        <v>0</v>
      </c>
      <c r="G48" s="132"/>
      <c r="H48" t="s">
        <v>223</v>
      </c>
    </row>
    <row r="49" spans="2:8" x14ac:dyDescent="0.3">
      <c r="B49" t="s">
        <v>324</v>
      </c>
      <c r="C49" s="132">
        <v>75</v>
      </c>
      <c r="D49" s="137">
        <v>0</v>
      </c>
      <c r="E49" s="14">
        <f t="shared" si="1"/>
        <v>0</v>
      </c>
      <c r="G49" s="132"/>
      <c r="H49" t="s">
        <v>224</v>
      </c>
    </row>
    <row r="50" spans="2:8" x14ac:dyDescent="0.3">
      <c r="B50" t="s">
        <v>325</v>
      </c>
      <c r="C50" s="132">
        <f>HLOOKUP(E40,Tuet!C4:G16,6,0)</f>
        <v>10</v>
      </c>
      <c r="D50" s="137">
        <f t="shared" si="0"/>
        <v>120</v>
      </c>
      <c r="E50" s="14">
        <f t="shared" ref="E50:E57" si="2">C50*D50</f>
        <v>1200</v>
      </c>
      <c r="G50" s="132"/>
      <c r="H50" t="s">
        <v>225</v>
      </c>
    </row>
    <row r="51" spans="2:8" x14ac:dyDescent="0.3">
      <c r="B51" t="s">
        <v>58</v>
      </c>
      <c r="C51" s="132">
        <f>HLOOKUP(E40,Tuet!C4:G16,7,0)</f>
        <v>54</v>
      </c>
      <c r="D51" s="137">
        <f t="shared" si="0"/>
        <v>120</v>
      </c>
      <c r="E51" s="14">
        <f t="shared" si="2"/>
        <v>6480</v>
      </c>
      <c r="G51" s="132"/>
      <c r="H51" t="s">
        <v>226</v>
      </c>
    </row>
    <row r="52" spans="2:8" x14ac:dyDescent="0.3">
      <c r="B52" t="s">
        <v>212</v>
      </c>
      <c r="C52" s="132">
        <f>HLOOKUP(E40,Tuet!C4:G16,8,0)</f>
        <v>40</v>
      </c>
      <c r="D52" s="137">
        <f>D51*0.6</f>
        <v>72</v>
      </c>
      <c r="E52" s="14">
        <f t="shared" si="2"/>
        <v>2880</v>
      </c>
      <c r="G52" s="132"/>
    </row>
    <row r="53" spans="2:8" x14ac:dyDescent="0.3">
      <c r="B53" t="s">
        <v>213</v>
      </c>
      <c r="C53" s="137">
        <f>HLOOKUP(E40,Tuet!C4:G16,9,0)</f>
        <v>11</v>
      </c>
      <c r="D53" s="137">
        <f>$E$41</f>
        <v>120</v>
      </c>
      <c r="E53" s="14">
        <f t="shared" si="2"/>
        <v>1320</v>
      </c>
      <c r="G53" s="132"/>
    </row>
    <row r="54" spans="2:8" x14ac:dyDescent="0.3">
      <c r="B54" t="s">
        <v>214</v>
      </c>
      <c r="C54" s="137">
        <f>HLOOKUP(E40,Tuet!C4:G16,10,0)</f>
        <v>0</v>
      </c>
      <c r="D54" s="137">
        <f>$E$41</f>
        <v>120</v>
      </c>
      <c r="E54" s="14">
        <f t="shared" si="2"/>
        <v>0</v>
      </c>
      <c r="G54" s="132"/>
      <c r="H54" s="73"/>
    </row>
    <row r="55" spans="2:8" x14ac:dyDescent="0.3">
      <c r="B55" t="s">
        <v>216</v>
      </c>
      <c r="C55" s="138">
        <f>HLOOKUP(E40,Tuet!C4:G16,11,0)</f>
        <v>54</v>
      </c>
      <c r="D55" s="137">
        <v>0</v>
      </c>
      <c r="E55" s="14">
        <f t="shared" si="2"/>
        <v>0</v>
      </c>
      <c r="G55" s="132"/>
    </row>
    <row r="56" spans="2:8" x14ac:dyDescent="0.3">
      <c r="B56" s="11" t="s">
        <v>215</v>
      </c>
      <c r="C56" s="132">
        <f>HLOOKUP(E40,Tuet!C4:G16,12,0)</f>
        <v>50</v>
      </c>
      <c r="D56" s="137">
        <v>0</v>
      </c>
      <c r="E56" s="14">
        <f t="shared" si="2"/>
        <v>0</v>
      </c>
      <c r="G56" s="132"/>
    </row>
    <row r="57" spans="2:8" x14ac:dyDescent="0.3">
      <c r="B57" s="6" t="s">
        <v>59</v>
      </c>
      <c r="C57" s="139">
        <f>HLOOKUP(E40,Tuet!C4:G16,13,0)</f>
        <v>294</v>
      </c>
      <c r="D57" s="139">
        <v>0</v>
      </c>
      <c r="E57" s="19">
        <f t="shared" si="2"/>
        <v>0</v>
      </c>
      <c r="G57" s="132"/>
    </row>
    <row r="58" spans="2:8" x14ac:dyDescent="0.3">
      <c r="B58" s="4" t="s">
        <v>217</v>
      </c>
      <c r="E58" s="126">
        <f>SUM(E44:E57)</f>
        <v>68760</v>
      </c>
      <c r="G58" s="132"/>
    </row>
    <row r="59" spans="2:8" x14ac:dyDescent="0.3">
      <c r="D59" s="132"/>
      <c r="E59" s="132"/>
      <c r="F59" s="132"/>
      <c r="G59" s="132"/>
    </row>
    <row r="60" spans="2:8" x14ac:dyDescent="0.3">
      <c r="B60" t="s">
        <v>152</v>
      </c>
      <c r="E60" s="133">
        <f>E58</f>
        <v>68760</v>
      </c>
      <c r="F60" t="s">
        <v>2</v>
      </c>
      <c r="G60" s="132"/>
    </row>
    <row r="61" spans="2:8" x14ac:dyDescent="0.3">
      <c r="B61" s="11" t="s">
        <v>153</v>
      </c>
      <c r="E61" s="12">
        <f>E60/E41</f>
        <v>573</v>
      </c>
      <c r="F61" s="11" t="s">
        <v>20</v>
      </c>
      <c r="G61" s="132"/>
    </row>
    <row r="62" spans="2:8" x14ac:dyDescent="0.3">
      <c r="B62" s="20" t="str">
        <f>CONCATENATE(E5,"n viljelyala omassa tukihakemuksessa olevilla pelloilla")</f>
        <v>Ohran viljelyala omassa tukihakemuksessa olevilla pelloilla</v>
      </c>
      <c r="E62" s="14">
        <f>E6</f>
        <v>60</v>
      </c>
      <c r="F62" s="11" t="s">
        <v>66</v>
      </c>
      <c r="G62" s="132"/>
    </row>
    <row r="63" spans="2:8" x14ac:dyDescent="0.3">
      <c r="B63" s="20" t="str">
        <f>CONCATENATE("Tuet ",E5,"n viljelyalalta")</f>
        <v>Tuet Ohran viljelyalalta</v>
      </c>
      <c r="E63" s="72">
        <f>E61*E62</f>
        <v>34380</v>
      </c>
      <c r="F63" s="59" t="s">
        <v>2</v>
      </c>
      <c r="G63" s="132"/>
    </row>
    <row r="64" spans="2:8" x14ac:dyDescent="0.3">
      <c r="B64" s="20" t="str">
        <f>CONCATENATE("Tuet ",E5,"hehtaaria kohden keskimäärin")</f>
        <v>Tuet Ohrahehtaaria kohden keskimäärin</v>
      </c>
      <c r="E64" s="12">
        <f>E63/E8</f>
        <v>573</v>
      </c>
      <c r="F64" s="11" t="s">
        <v>20</v>
      </c>
      <c r="G64" s="132"/>
    </row>
    <row r="65" spans="2:10" x14ac:dyDescent="0.3">
      <c r="D65" s="132"/>
      <c r="E65" s="132"/>
      <c r="F65" s="132"/>
    </row>
    <row r="66" spans="2:10" x14ac:dyDescent="0.3">
      <c r="D66" s="132"/>
      <c r="E66" s="132"/>
      <c r="F66" s="132"/>
    </row>
    <row r="67" spans="2:10" x14ac:dyDescent="0.3">
      <c r="D67" s="132"/>
      <c r="E67" s="132"/>
      <c r="F67" s="132"/>
    </row>
    <row r="73" spans="2:10" x14ac:dyDescent="0.3">
      <c r="G73" s="61"/>
      <c r="H73" s="61"/>
      <c r="I73" s="61"/>
      <c r="J73" s="61"/>
    </row>
    <row r="75" spans="2:10" ht="18" x14ac:dyDescent="0.35">
      <c r="B75" s="69" t="s">
        <v>209</v>
      </c>
      <c r="C75" s="61"/>
      <c r="D75" s="61"/>
      <c r="E75" s="61"/>
      <c r="F75" s="61"/>
    </row>
    <row r="76" spans="2:10" x14ac:dyDescent="0.3">
      <c r="B76" s="105"/>
      <c r="C76" s="106"/>
      <c r="D76" s="106"/>
      <c r="E76" s="107" t="s">
        <v>208</v>
      </c>
      <c r="F76" s="106"/>
      <c r="G76" s="106"/>
      <c r="H76" s="108" t="s">
        <v>206</v>
      </c>
      <c r="I76" s="106"/>
      <c r="J76" s="109"/>
    </row>
    <row r="77" spans="2:10" x14ac:dyDescent="0.3">
      <c r="B77" s="110" t="s">
        <v>89</v>
      </c>
      <c r="C77" s="63" t="s">
        <v>123</v>
      </c>
      <c r="D77" s="63"/>
      <c r="E77" s="110" t="s">
        <v>20</v>
      </c>
      <c r="F77" s="63" t="s">
        <v>147</v>
      </c>
      <c r="G77" s="111"/>
      <c r="H77" s="112" t="s">
        <v>172</v>
      </c>
      <c r="I77" s="113" t="s">
        <v>173</v>
      </c>
      <c r="J77" s="114" t="s">
        <v>207</v>
      </c>
    </row>
    <row r="78" spans="2:10" x14ac:dyDescent="0.3">
      <c r="B78" s="115" t="s">
        <v>127</v>
      </c>
      <c r="C78" s="116" t="s">
        <v>111</v>
      </c>
      <c r="D78" s="116"/>
      <c r="E78" s="117">
        <v>5300</v>
      </c>
      <c r="F78" s="21">
        <v>3975</v>
      </c>
      <c r="G78" s="116"/>
      <c r="H78" s="118">
        <v>190</v>
      </c>
      <c r="I78" s="116">
        <v>180</v>
      </c>
      <c r="J78" s="119">
        <v>185</v>
      </c>
    </row>
    <row r="79" spans="2:10" x14ac:dyDescent="0.3">
      <c r="B79" s="115" t="s">
        <v>116</v>
      </c>
      <c r="C79" s="116" t="s">
        <v>116</v>
      </c>
      <c r="D79" s="116"/>
      <c r="E79" s="117">
        <v>9800</v>
      </c>
      <c r="F79" s="21">
        <v>7350</v>
      </c>
      <c r="G79" s="116"/>
      <c r="H79" s="118">
        <v>267</v>
      </c>
      <c r="I79" s="116">
        <v>253</v>
      </c>
      <c r="J79" s="119">
        <v>260</v>
      </c>
    </row>
    <row r="80" spans="2:10" x14ac:dyDescent="0.3">
      <c r="B80" s="115" t="s">
        <v>112</v>
      </c>
      <c r="C80" s="116" t="s">
        <v>112</v>
      </c>
      <c r="D80" s="116"/>
      <c r="E80" s="117">
        <v>4200</v>
      </c>
      <c r="F80" s="21">
        <v>3150</v>
      </c>
      <c r="G80" s="116"/>
      <c r="H80" s="118">
        <v>163</v>
      </c>
      <c r="I80" s="116">
        <v>144</v>
      </c>
      <c r="J80" s="119">
        <v>153</v>
      </c>
    </row>
    <row r="81" spans="2:10" x14ac:dyDescent="0.3">
      <c r="B81" s="115" t="s">
        <v>119</v>
      </c>
      <c r="C81" s="116" t="s">
        <v>119</v>
      </c>
      <c r="D81" s="116"/>
      <c r="E81" s="117">
        <v>2700</v>
      </c>
      <c r="F81" s="21">
        <v>2025</v>
      </c>
      <c r="G81" s="116"/>
      <c r="H81" s="118">
        <v>93</v>
      </c>
      <c r="I81" s="116">
        <v>94</v>
      </c>
      <c r="J81" s="119">
        <v>93</v>
      </c>
    </row>
    <row r="82" spans="2:10" x14ac:dyDescent="0.3">
      <c r="B82" s="115" t="s">
        <v>124</v>
      </c>
      <c r="C82" s="116" t="s">
        <v>109</v>
      </c>
      <c r="D82" s="116"/>
      <c r="E82" s="117">
        <v>10300</v>
      </c>
      <c r="F82" s="21">
        <v>7725</v>
      </c>
      <c r="G82" s="116"/>
      <c r="H82" s="118">
        <v>302</v>
      </c>
      <c r="I82" s="116">
        <v>231</v>
      </c>
      <c r="J82" s="119">
        <v>266</v>
      </c>
    </row>
    <row r="83" spans="2:10" x14ac:dyDescent="0.3">
      <c r="B83" s="115" t="s">
        <v>128</v>
      </c>
      <c r="C83" s="116" t="s">
        <v>117</v>
      </c>
      <c r="D83" s="116"/>
      <c r="E83" s="117">
        <v>6800</v>
      </c>
      <c r="F83" s="21">
        <v>5100</v>
      </c>
      <c r="G83" s="116"/>
      <c r="H83" s="118">
        <v>232</v>
      </c>
      <c r="I83" s="116">
        <v>202</v>
      </c>
      <c r="J83" s="119">
        <v>217</v>
      </c>
    </row>
    <row r="84" spans="2:10" x14ac:dyDescent="0.3">
      <c r="B84" s="115" t="s">
        <v>115</v>
      </c>
      <c r="C84" s="116" t="s">
        <v>115</v>
      </c>
      <c r="D84" s="116"/>
      <c r="E84" s="117">
        <v>4100</v>
      </c>
      <c r="F84" s="21">
        <v>3075</v>
      </c>
      <c r="G84" s="116"/>
      <c r="H84" s="118">
        <v>140</v>
      </c>
      <c r="I84" s="116">
        <v>136</v>
      </c>
      <c r="J84" s="119">
        <v>138</v>
      </c>
    </row>
    <row r="85" spans="2:10" x14ac:dyDescent="0.3">
      <c r="B85" s="115" t="s">
        <v>126</v>
      </c>
      <c r="C85" s="116" t="s">
        <v>111</v>
      </c>
      <c r="D85" s="116"/>
      <c r="E85" s="117">
        <v>6400</v>
      </c>
      <c r="F85" s="21">
        <v>4800</v>
      </c>
      <c r="G85" s="116"/>
      <c r="H85" s="118">
        <v>190</v>
      </c>
      <c r="I85" s="116">
        <v>180</v>
      </c>
      <c r="J85" s="119">
        <v>185</v>
      </c>
    </row>
    <row r="86" spans="2:10" x14ac:dyDescent="0.3">
      <c r="B86" s="115" t="s">
        <v>120</v>
      </c>
      <c r="C86" s="116" t="s">
        <v>120</v>
      </c>
      <c r="D86" s="116"/>
      <c r="E86" s="117">
        <v>2400</v>
      </c>
      <c r="F86" s="21">
        <v>1800</v>
      </c>
      <c r="G86" s="116"/>
      <c r="H86" s="118">
        <v>102</v>
      </c>
      <c r="I86" s="116">
        <v>105</v>
      </c>
      <c r="J86" s="119">
        <v>103</v>
      </c>
    </row>
    <row r="87" spans="2:10" x14ac:dyDescent="0.3">
      <c r="B87" s="115" t="s">
        <v>110</v>
      </c>
      <c r="C87" s="116" t="s">
        <v>110</v>
      </c>
      <c r="D87" s="116"/>
      <c r="E87" s="117">
        <v>9000</v>
      </c>
      <c r="F87" s="21">
        <v>6750</v>
      </c>
      <c r="G87" s="116"/>
      <c r="H87" s="118">
        <v>217</v>
      </c>
      <c r="I87" s="116">
        <v>277</v>
      </c>
      <c r="J87" s="119">
        <v>247</v>
      </c>
    </row>
    <row r="88" spans="2:10" x14ac:dyDescent="0.3">
      <c r="B88" s="115" t="s">
        <v>117</v>
      </c>
      <c r="C88" s="116" t="s">
        <v>117</v>
      </c>
      <c r="D88" s="116"/>
      <c r="E88" s="117">
        <v>11700</v>
      </c>
      <c r="F88" s="21">
        <v>8775</v>
      </c>
      <c r="G88" s="116"/>
      <c r="H88" s="118">
        <v>232</v>
      </c>
      <c r="I88" s="116">
        <v>202</v>
      </c>
      <c r="J88" s="119">
        <v>217</v>
      </c>
    </row>
    <row r="89" spans="2:10" x14ac:dyDescent="0.3">
      <c r="B89" s="115" t="s">
        <v>114</v>
      </c>
      <c r="C89" s="116" t="s">
        <v>114</v>
      </c>
      <c r="D89" s="116"/>
      <c r="E89" s="117">
        <v>3900</v>
      </c>
      <c r="F89" s="21">
        <v>2925</v>
      </c>
      <c r="G89" s="116"/>
      <c r="H89" s="118">
        <v>144</v>
      </c>
      <c r="I89" s="116">
        <v>169</v>
      </c>
      <c r="J89" s="119">
        <v>156</v>
      </c>
    </row>
    <row r="90" spans="2:10" x14ac:dyDescent="0.3">
      <c r="B90" s="115" t="s">
        <v>118</v>
      </c>
      <c r="C90" s="116" t="s">
        <v>118</v>
      </c>
      <c r="D90" s="116"/>
      <c r="E90" s="117">
        <v>7000</v>
      </c>
      <c r="F90" s="21">
        <v>5250</v>
      </c>
      <c r="G90" s="116"/>
      <c r="H90" s="118">
        <v>170</v>
      </c>
      <c r="I90" s="116">
        <v>173</v>
      </c>
      <c r="J90" s="119">
        <v>171</v>
      </c>
    </row>
    <row r="91" spans="2:10" x14ac:dyDescent="0.3">
      <c r="B91" s="115" t="s">
        <v>113</v>
      </c>
      <c r="C91" s="116" t="s">
        <v>113</v>
      </c>
      <c r="D91" s="116"/>
      <c r="E91" s="117">
        <v>4800</v>
      </c>
      <c r="F91" s="21">
        <v>3600</v>
      </c>
      <c r="G91" s="116"/>
      <c r="H91" s="118">
        <v>165</v>
      </c>
      <c r="I91" s="116">
        <v>175</v>
      </c>
      <c r="J91" s="119">
        <v>170</v>
      </c>
    </row>
    <row r="92" spans="2:10" x14ac:dyDescent="0.3">
      <c r="B92" s="115" t="s">
        <v>125</v>
      </c>
      <c r="C92" s="116" t="s">
        <v>109</v>
      </c>
      <c r="D92" s="116"/>
      <c r="E92" s="117">
        <v>9400</v>
      </c>
      <c r="F92" s="21">
        <v>7050</v>
      </c>
      <c r="G92" s="116"/>
      <c r="H92" s="118">
        <v>302</v>
      </c>
      <c r="I92" s="116">
        <v>231</v>
      </c>
      <c r="J92" s="119">
        <v>266</v>
      </c>
    </row>
    <row r="93" spans="2:10" x14ac:dyDescent="0.3">
      <c r="B93" s="115" t="s">
        <v>108</v>
      </c>
      <c r="C93" s="116" t="s">
        <v>108</v>
      </c>
      <c r="D93" s="116"/>
      <c r="E93" s="117">
        <v>11000</v>
      </c>
      <c r="F93" s="21">
        <v>8250</v>
      </c>
      <c r="G93" s="116"/>
      <c r="H93" s="118">
        <v>236</v>
      </c>
      <c r="I93" s="116">
        <v>226</v>
      </c>
      <c r="J93" s="119">
        <v>231</v>
      </c>
    </row>
    <row r="94" spans="2:10" x14ac:dyDescent="0.3">
      <c r="B94" s="115" t="s">
        <v>106</v>
      </c>
      <c r="C94" s="116" t="s">
        <v>106</v>
      </c>
      <c r="D94" s="116"/>
      <c r="E94" s="117">
        <v>9800</v>
      </c>
      <c r="F94" s="21">
        <v>7350</v>
      </c>
      <c r="G94" s="116"/>
      <c r="H94" s="118">
        <v>240</v>
      </c>
      <c r="I94" s="116">
        <v>286</v>
      </c>
      <c r="J94" s="119">
        <v>263</v>
      </c>
    </row>
    <row r="95" spans="2:10" x14ac:dyDescent="0.3">
      <c r="B95" s="120" t="s">
        <v>107</v>
      </c>
      <c r="C95" s="111" t="s">
        <v>107</v>
      </c>
      <c r="D95" s="111"/>
      <c r="E95" s="121">
        <v>12300</v>
      </c>
      <c r="F95" s="122">
        <v>9225</v>
      </c>
      <c r="G95" s="111"/>
      <c r="H95" s="123">
        <v>336</v>
      </c>
      <c r="I95" s="111">
        <v>352</v>
      </c>
      <c r="J95" s="124">
        <v>344</v>
      </c>
    </row>
    <row r="99" spans="2:9" ht="18" x14ac:dyDescent="0.35">
      <c r="B99" s="125" t="s">
        <v>100</v>
      </c>
    </row>
    <row r="101" spans="2:9" x14ac:dyDescent="0.3">
      <c r="B101" t="s">
        <v>101</v>
      </c>
      <c r="C101" t="s">
        <v>102</v>
      </c>
    </row>
    <row r="102" spans="2:9" x14ac:dyDescent="0.3">
      <c r="B102" s="55" t="s">
        <v>90</v>
      </c>
    </row>
    <row r="103" spans="2:9" x14ac:dyDescent="0.3">
      <c r="B103" t="s">
        <v>103</v>
      </c>
      <c r="C103" t="s">
        <v>104</v>
      </c>
    </row>
    <row r="105" spans="2:9" ht="28.8" x14ac:dyDescent="0.3">
      <c r="B105" s="3" t="s">
        <v>123</v>
      </c>
      <c r="C105" s="68" t="s">
        <v>141</v>
      </c>
      <c r="D105" s="68" t="s">
        <v>142</v>
      </c>
      <c r="E105" s="3" t="s">
        <v>143</v>
      </c>
      <c r="F105" s="3" t="s">
        <v>144</v>
      </c>
      <c r="G105" s="3" t="s">
        <v>145</v>
      </c>
      <c r="H105" s="3" t="s">
        <v>146</v>
      </c>
      <c r="I105" s="3" t="s">
        <v>105</v>
      </c>
    </row>
    <row r="106" spans="2:9" x14ac:dyDescent="0.3">
      <c r="B106" t="s">
        <v>106</v>
      </c>
      <c r="C106" s="67">
        <v>240</v>
      </c>
      <c r="D106" s="67">
        <v>286</v>
      </c>
      <c r="E106">
        <v>218</v>
      </c>
      <c r="F106">
        <v>237</v>
      </c>
      <c r="G106">
        <v>339</v>
      </c>
      <c r="H106">
        <v>270</v>
      </c>
      <c r="I106">
        <v>237</v>
      </c>
    </row>
    <row r="107" spans="2:9" x14ac:dyDescent="0.3">
      <c r="B107" t="s">
        <v>107</v>
      </c>
      <c r="C107" s="67">
        <v>336</v>
      </c>
      <c r="D107" s="67">
        <v>352</v>
      </c>
      <c r="E107">
        <v>333</v>
      </c>
      <c r="F107">
        <v>285</v>
      </c>
      <c r="G107">
        <v>492</v>
      </c>
      <c r="H107">
        <v>385</v>
      </c>
      <c r="I107">
        <v>350</v>
      </c>
    </row>
    <row r="108" spans="2:9" x14ac:dyDescent="0.3">
      <c r="B108" t="s">
        <v>108</v>
      </c>
      <c r="C108" s="67">
        <v>236</v>
      </c>
      <c r="D108" s="67">
        <v>226</v>
      </c>
      <c r="E108">
        <v>278</v>
      </c>
      <c r="F108">
        <v>270</v>
      </c>
      <c r="G108">
        <v>418</v>
      </c>
      <c r="H108">
        <v>329</v>
      </c>
      <c r="I108">
        <v>297</v>
      </c>
    </row>
    <row r="109" spans="2:9" x14ac:dyDescent="0.3">
      <c r="B109" t="s">
        <v>109</v>
      </c>
      <c r="C109" s="67">
        <v>302</v>
      </c>
      <c r="D109" s="67">
        <v>231</v>
      </c>
      <c r="E109">
        <v>248</v>
      </c>
      <c r="F109">
        <v>244</v>
      </c>
      <c r="G109">
        <v>411</v>
      </c>
      <c r="H109">
        <v>246</v>
      </c>
      <c r="I109">
        <v>267</v>
      </c>
    </row>
    <row r="110" spans="2:9" x14ac:dyDescent="0.3">
      <c r="B110" t="s">
        <v>110</v>
      </c>
      <c r="C110" s="67">
        <v>217</v>
      </c>
      <c r="D110" s="67">
        <v>277</v>
      </c>
      <c r="E110">
        <v>207</v>
      </c>
      <c r="F110">
        <v>166</v>
      </c>
      <c r="G110">
        <v>230</v>
      </c>
      <c r="H110">
        <v>252</v>
      </c>
      <c r="I110">
        <v>217</v>
      </c>
    </row>
    <row r="111" spans="2:9" x14ac:dyDescent="0.3">
      <c r="B111" t="s">
        <v>111</v>
      </c>
      <c r="C111" s="67">
        <v>190</v>
      </c>
      <c r="D111" s="67">
        <v>180</v>
      </c>
      <c r="E111">
        <v>172</v>
      </c>
      <c r="F111">
        <v>146</v>
      </c>
      <c r="G111">
        <v>620</v>
      </c>
      <c r="H111">
        <v>204</v>
      </c>
      <c r="I111">
        <v>186</v>
      </c>
    </row>
    <row r="112" spans="2:9" x14ac:dyDescent="0.3">
      <c r="B112" t="s">
        <v>112</v>
      </c>
      <c r="C112" s="67">
        <v>163</v>
      </c>
      <c r="D112" s="67">
        <v>144</v>
      </c>
      <c r="E112">
        <v>145</v>
      </c>
      <c r="F112">
        <v>145</v>
      </c>
      <c r="G112">
        <v>242</v>
      </c>
      <c r="H112">
        <v>154</v>
      </c>
      <c r="I112">
        <v>158</v>
      </c>
    </row>
    <row r="113" spans="1:24" x14ac:dyDescent="0.3">
      <c r="B113" t="s">
        <v>113</v>
      </c>
      <c r="C113" s="67">
        <v>165</v>
      </c>
      <c r="D113" s="67">
        <v>175</v>
      </c>
      <c r="E113">
        <v>136</v>
      </c>
      <c r="F113">
        <v>127</v>
      </c>
      <c r="G113">
        <v>171</v>
      </c>
      <c r="H113">
        <v>175</v>
      </c>
      <c r="I113">
        <v>155</v>
      </c>
    </row>
    <row r="114" spans="1:24" x14ac:dyDescent="0.3">
      <c r="B114" t="s">
        <v>114</v>
      </c>
      <c r="C114" s="67">
        <v>144</v>
      </c>
      <c r="D114" s="67">
        <v>169</v>
      </c>
      <c r="E114">
        <v>146</v>
      </c>
      <c r="F114">
        <v>113</v>
      </c>
      <c r="G114">
        <v>144</v>
      </c>
      <c r="H114">
        <v>162</v>
      </c>
      <c r="I114">
        <v>140</v>
      </c>
    </row>
    <row r="115" spans="1:24" x14ac:dyDescent="0.3">
      <c r="B115" t="s">
        <v>115</v>
      </c>
      <c r="C115" s="67">
        <v>140</v>
      </c>
      <c r="D115" s="67">
        <v>136</v>
      </c>
      <c r="E115">
        <v>141</v>
      </c>
      <c r="F115">
        <v>117</v>
      </c>
      <c r="G115">
        <v>146</v>
      </c>
      <c r="H115">
        <v>133</v>
      </c>
      <c r="I115">
        <v>134</v>
      </c>
    </row>
    <row r="116" spans="1:24" x14ac:dyDescent="0.3">
      <c r="B116" t="s">
        <v>116</v>
      </c>
      <c r="C116" s="67">
        <v>267</v>
      </c>
      <c r="D116" s="67">
        <v>253</v>
      </c>
      <c r="E116">
        <v>256</v>
      </c>
      <c r="F116">
        <v>216</v>
      </c>
      <c r="G116">
        <v>348</v>
      </c>
      <c r="H116">
        <v>310</v>
      </c>
      <c r="I116">
        <v>260</v>
      </c>
    </row>
    <row r="117" spans="1:24" x14ac:dyDescent="0.3">
      <c r="B117" t="s">
        <v>117</v>
      </c>
      <c r="C117" s="67">
        <v>232</v>
      </c>
      <c r="D117" s="67">
        <v>202</v>
      </c>
      <c r="E117">
        <v>257</v>
      </c>
      <c r="F117">
        <v>202</v>
      </c>
      <c r="G117">
        <v>385</v>
      </c>
      <c r="H117">
        <v>297</v>
      </c>
      <c r="I117">
        <v>240</v>
      </c>
    </row>
    <row r="118" spans="1:24" x14ac:dyDescent="0.3">
      <c r="B118" t="s">
        <v>118</v>
      </c>
      <c r="C118" s="67">
        <v>170</v>
      </c>
      <c r="D118" s="67">
        <v>173</v>
      </c>
      <c r="E118">
        <v>151</v>
      </c>
      <c r="F118">
        <v>169</v>
      </c>
      <c r="G118">
        <v>189</v>
      </c>
      <c r="H118">
        <v>168</v>
      </c>
      <c r="I118">
        <v>165</v>
      </c>
    </row>
    <row r="119" spans="1:24" x14ac:dyDescent="0.3">
      <c r="B119" t="s">
        <v>119</v>
      </c>
      <c r="C119" s="67">
        <v>93</v>
      </c>
      <c r="D119" s="67">
        <v>94</v>
      </c>
      <c r="E119">
        <v>136</v>
      </c>
      <c r="F119">
        <v>96</v>
      </c>
      <c r="G119">
        <v>169</v>
      </c>
      <c r="H119">
        <v>113</v>
      </c>
      <c r="I119">
        <v>98</v>
      </c>
    </row>
    <row r="120" spans="1:24" x14ac:dyDescent="0.3">
      <c r="B120" t="s">
        <v>120</v>
      </c>
      <c r="C120" s="67">
        <v>102</v>
      </c>
      <c r="D120" s="67">
        <v>105</v>
      </c>
      <c r="E120" t="s">
        <v>121</v>
      </c>
      <c r="F120">
        <v>105</v>
      </c>
      <c r="G120">
        <v>88</v>
      </c>
      <c r="H120">
        <v>78</v>
      </c>
      <c r="I120">
        <v>100</v>
      </c>
    </row>
    <row r="121" spans="1:24" x14ac:dyDescent="0.3">
      <c r="B121" s="6" t="s">
        <v>122</v>
      </c>
      <c r="C121" s="36">
        <v>260</v>
      </c>
      <c r="D121" s="36">
        <v>280</v>
      </c>
      <c r="E121" s="6">
        <v>252</v>
      </c>
      <c r="F121" s="6">
        <v>216</v>
      </c>
      <c r="G121" s="6">
        <v>355</v>
      </c>
      <c r="H121" s="6">
        <v>337</v>
      </c>
      <c r="I121" s="6">
        <v>272</v>
      </c>
      <c r="W121" s="61"/>
      <c r="X121" s="61"/>
    </row>
    <row r="122" spans="1:24" s="61" customFormat="1" x14ac:dyDescent="0.3">
      <c r="A122"/>
      <c r="B122"/>
      <c r="C122"/>
      <c r="D122"/>
      <c r="E122"/>
      <c r="F122"/>
      <c r="G122"/>
      <c r="H122"/>
      <c r="I122"/>
      <c r="J122"/>
      <c r="K122"/>
      <c r="L122"/>
      <c r="M122"/>
      <c r="N122"/>
      <c r="O122"/>
      <c r="P122"/>
      <c r="Q122"/>
      <c r="R122"/>
      <c r="S122"/>
      <c r="T122"/>
      <c r="U122"/>
      <c r="V122"/>
    </row>
    <row r="123" spans="1:24" s="61" customFormat="1" x14ac:dyDescent="0.3">
      <c r="A123"/>
      <c r="B123"/>
      <c r="C123"/>
      <c r="D123"/>
      <c r="E123"/>
      <c r="F123"/>
      <c r="G123"/>
      <c r="H123"/>
      <c r="I123"/>
      <c r="J123"/>
      <c r="K123"/>
      <c r="L123"/>
      <c r="M123"/>
      <c r="N123"/>
      <c r="O123"/>
      <c r="P123"/>
      <c r="Q123"/>
      <c r="R123"/>
      <c r="S123"/>
      <c r="T123"/>
      <c r="U123"/>
      <c r="V123"/>
    </row>
    <row r="124" spans="1:24" s="61" customFormat="1" ht="18" x14ac:dyDescent="0.35">
      <c r="B124" s="5" t="s">
        <v>140</v>
      </c>
      <c r="I124" s="5" t="s">
        <v>133</v>
      </c>
      <c r="P124" s="5" t="s">
        <v>139</v>
      </c>
    </row>
    <row r="125" spans="1:24" s="61" customFormat="1" x14ac:dyDescent="0.3"/>
    <row r="126" spans="1:24" s="61" customFormat="1" x14ac:dyDescent="0.3">
      <c r="B126" s="62" t="s">
        <v>101</v>
      </c>
      <c r="C126" s="66" t="s">
        <v>134</v>
      </c>
    </row>
    <row r="127" spans="1:24" s="61" customFormat="1" x14ac:dyDescent="0.3">
      <c r="B127" s="62" t="s">
        <v>129</v>
      </c>
      <c r="W127"/>
      <c r="X127"/>
    </row>
    <row r="128" spans="1:24" x14ac:dyDescent="0.3">
      <c r="A128" s="61"/>
      <c r="B128" s="62"/>
      <c r="C128" s="61"/>
      <c r="D128" s="61"/>
      <c r="E128" s="61"/>
      <c r="F128" s="61"/>
      <c r="G128" s="61"/>
      <c r="H128" s="61"/>
      <c r="I128" s="61"/>
      <c r="J128" s="61"/>
      <c r="K128" s="61"/>
      <c r="L128" s="61"/>
      <c r="M128" s="61"/>
      <c r="N128" s="61"/>
      <c r="O128" s="61"/>
      <c r="P128" s="61"/>
      <c r="Q128" s="61"/>
      <c r="R128" s="61"/>
      <c r="S128" s="61"/>
      <c r="T128" s="61"/>
      <c r="U128" s="61"/>
      <c r="V128" s="61"/>
    </row>
    <row r="129" spans="1:22" x14ac:dyDescent="0.3">
      <c r="A129" s="61"/>
      <c r="B129" s="63" t="s">
        <v>89</v>
      </c>
      <c r="C129" s="63" t="s">
        <v>19</v>
      </c>
      <c r="D129" s="63" t="s">
        <v>132</v>
      </c>
      <c r="E129" s="63" t="s">
        <v>130</v>
      </c>
      <c r="F129" s="63" t="s">
        <v>131</v>
      </c>
      <c r="G129" s="61"/>
      <c r="H129" s="61"/>
      <c r="I129" s="63" t="s">
        <v>89</v>
      </c>
      <c r="J129" s="63" t="s">
        <v>19</v>
      </c>
      <c r="K129" s="63" t="s">
        <v>132</v>
      </c>
      <c r="L129" s="63" t="s">
        <v>130</v>
      </c>
      <c r="M129" s="63" t="s">
        <v>131</v>
      </c>
      <c r="N129" s="61"/>
      <c r="O129" s="61"/>
      <c r="P129" s="63" t="s">
        <v>89</v>
      </c>
      <c r="Q129" s="63" t="s">
        <v>19</v>
      </c>
      <c r="R129" s="63" t="s">
        <v>132</v>
      </c>
      <c r="S129" s="63" t="s">
        <v>130</v>
      </c>
      <c r="T129" s="63" t="s">
        <v>131</v>
      </c>
      <c r="U129" s="61"/>
      <c r="V129" s="61"/>
    </row>
    <row r="130" spans="1:22" x14ac:dyDescent="0.3">
      <c r="B130" t="s">
        <v>106</v>
      </c>
      <c r="C130">
        <v>22</v>
      </c>
      <c r="D130">
        <v>10.8</v>
      </c>
      <c r="E130" s="14">
        <v>9463</v>
      </c>
      <c r="F130" s="14">
        <v>9654</v>
      </c>
      <c r="I130" t="s">
        <v>106</v>
      </c>
      <c r="J130">
        <v>30</v>
      </c>
      <c r="K130">
        <v>8.3000000000000007</v>
      </c>
      <c r="L130" s="64">
        <v>10175</v>
      </c>
      <c r="M130" s="64">
        <v>10238</v>
      </c>
      <c r="P130" t="s">
        <v>106</v>
      </c>
      <c r="Q130">
        <v>20</v>
      </c>
      <c r="R130">
        <v>7.6</v>
      </c>
      <c r="S130" s="14">
        <v>9990</v>
      </c>
      <c r="T130" s="14">
        <v>10312</v>
      </c>
    </row>
    <row r="131" spans="1:22" x14ac:dyDescent="0.3">
      <c r="B131" t="s">
        <v>107</v>
      </c>
      <c r="C131">
        <v>43</v>
      </c>
      <c r="D131">
        <v>9.9</v>
      </c>
      <c r="E131" s="14">
        <v>12808</v>
      </c>
      <c r="F131" s="14">
        <v>11607</v>
      </c>
      <c r="I131" t="s">
        <v>107</v>
      </c>
      <c r="J131">
        <v>75</v>
      </c>
      <c r="K131">
        <v>8.6</v>
      </c>
      <c r="L131" s="64">
        <v>12000</v>
      </c>
      <c r="M131" s="64">
        <v>11866</v>
      </c>
      <c r="O131" s="61"/>
      <c r="P131" t="s">
        <v>107</v>
      </c>
      <c r="Q131">
        <v>50</v>
      </c>
      <c r="R131">
        <v>10.4</v>
      </c>
      <c r="S131" s="14">
        <v>12311</v>
      </c>
      <c r="T131" s="14">
        <v>11749</v>
      </c>
    </row>
    <row r="132" spans="1:22" x14ac:dyDescent="0.3">
      <c r="B132" t="s">
        <v>108</v>
      </c>
      <c r="C132">
        <v>30</v>
      </c>
      <c r="D132">
        <v>6.9</v>
      </c>
      <c r="E132" s="14">
        <v>9971</v>
      </c>
      <c r="F132" s="14">
        <v>10026</v>
      </c>
      <c r="I132" t="s">
        <v>108</v>
      </c>
      <c r="J132">
        <v>48</v>
      </c>
      <c r="K132">
        <v>8.3000000000000007</v>
      </c>
      <c r="L132" s="64">
        <v>11147</v>
      </c>
      <c r="M132" s="64">
        <v>11038</v>
      </c>
      <c r="P132" t="s">
        <v>108</v>
      </c>
      <c r="Q132">
        <v>47</v>
      </c>
      <c r="R132">
        <v>7.2</v>
      </c>
      <c r="S132" s="14">
        <v>12000</v>
      </c>
      <c r="T132" s="14">
        <v>10983</v>
      </c>
    </row>
    <row r="133" spans="1:22" x14ac:dyDescent="0.3">
      <c r="B133" t="s">
        <v>124</v>
      </c>
      <c r="C133">
        <v>25</v>
      </c>
      <c r="D133">
        <v>10.4</v>
      </c>
      <c r="E133" s="14">
        <v>9821</v>
      </c>
      <c r="F133" s="14">
        <v>10346</v>
      </c>
      <c r="I133" t="s">
        <v>124</v>
      </c>
      <c r="J133">
        <v>29</v>
      </c>
      <c r="K133">
        <v>9.5</v>
      </c>
      <c r="L133" s="64">
        <v>9237</v>
      </c>
      <c r="M133" s="64">
        <v>8956</v>
      </c>
      <c r="P133" t="s">
        <v>124</v>
      </c>
      <c r="Q133">
        <v>20</v>
      </c>
      <c r="R133">
        <v>11.2</v>
      </c>
      <c r="S133" s="14">
        <v>12111</v>
      </c>
      <c r="T133" s="14">
        <v>11459</v>
      </c>
    </row>
    <row r="134" spans="1:22" x14ac:dyDescent="0.3">
      <c r="B134" t="s">
        <v>110</v>
      </c>
      <c r="C134">
        <v>26</v>
      </c>
      <c r="D134">
        <v>5.8</v>
      </c>
      <c r="E134" s="14">
        <v>9319</v>
      </c>
      <c r="F134" s="14">
        <v>9542</v>
      </c>
      <c r="I134" t="s">
        <v>110</v>
      </c>
      <c r="J134">
        <v>33</v>
      </c>
      <c r="K134">
        <v>7</v>
      </c>
      <c r="L134" s="64">
        <v>9366</v>
      </c>
      <c r="M134" s="64">
        <v>9995</v>
      </c>
      <c r="P134" t="s">
        <v>110</v>
      </c>
      <c r="Q134">
        <v>29</v>
      </c>
      <c r="R134">
        <v>12.1</v>
      </c>
      <c r="S134" s="14">
        <v>8399</v>
      </c>
      <c r="T134" s="14">
        <v>8217</v>
      </c>
    </row>
    <row r="135" spans="1:22" x14ac:dyDescent="0.3">
      <c r="B135" t="s">
        <v>125</v>
      </c>
      <c r="C135">
        <v>14</v>
      </c>
      <c r="D135">
        <v>10.199999999999999</v>
      </c>
      <c r="E135" s="14">
        <v>9669</v>
      </c>
      <c r="F135" s="14">
        <v>9554</v>
      </c>
      <c r="I135" t="s">
        <v>125</v>
      </c>
      <c r="J135">
        <v>15</v>
      </c>
      <c r="K135">
        <v>8.1999999999999993</v>
      </c>
      <c r="L135" s="64">
        <v>9831</v>
      </c>
      <c r="M135" s="64">
        <v>9494</v>
      </c>
      <c r="P135" t="s">
        <v>125</v>
      </c>
      <c r="Q135">
        <v>18</v>
      </c>
      <c r="R135">
        <v>8.4</v>
      </c>
      <c r="S135" s="14">
        <v>8839</v>
      </c>
      <c r="T135" s="14">
        <v>9205</v>
      </c>
    </row>
    <row r="136" spans="1:22" x14ac:dyDescent="0.3">
      <c r="B136" t="s">
        <v>126</v>
      </c>
      <c r="C136">
        <v>21</v>
      </c>
      <c r="D136">
        <v>5.9</v>
      </c>
      <c r="E136" s="14">
        <v>5800</v>
      </c>
      <c r="F136" s="14">
        <v>6426</v>
      </c>
      <c r="I136" t="s">
        <v>126</v>
      </c>
      <c r="J136">
        <v>33</v>
      </c>
      <c r="K136">
        <v>10</v>
      </c>
      <c r="L136" s="64">
        <v>6968</v>
      </c>
      <c r="M136" s="64">
        <v>7127</v>
      </c>
      <c r="P136" t="s">
        <v>126</v>
      </c>
      <c r="Q136">
        <v>33</v>
      </c>
      <c r="R136">
        <v>9.4</v>
      </c>
      <c r="S136" s="14">
        <v>6704</v>
      </c>
      <c r="T136" s="14">
        <v>7173</v>
      </c>
    </row>
    <row r="137" spans="1:22" x14ac:dyDescent="0.3">
      <c r="B137" t="s">
        <v>127</v>
      </c>
      <c r="C137">
        <v>13</v>
      </c>
      <c r="D137">
        <v>6.8</v>
      </c>
      <c r="E137" s="14">
        <v>5939</v>
      </c>
      <c r="F137" s="14">
        <v>5989</v>
      </c>
      <c r="I137" t="s">
        <v>127</v>
      </c>
      <c r="J137">
        <v>11</v>
      </c>
      <c r="K137">
        <v>6.7</v>
      </c>
      <c r="L137" s="64">
        <v>4708</v>
      </c>
      <c r="M137" s="64">
        <v>4812</v>
      </c>
      <c r="P137" t="s">
        <v>127</v>
      </c>
      <c r="Q137">
        <v>14</v>
      </c>
      <c r="R137">
        <v>8.5</v>
      </c>
      <c r="S137" s="14">
        <v>5371</v>
      </c>
      <c r="T137" s="14">
        <v>5635</v>
      </c>
    </row>
    <row r="138" spans="1:22" x14ac:dyDescent="0.3">
      <c r="B138" t="s">
        <v>112</v>
      </c>
      <c r="C138">
        <v>8</v>
      </c>
      <c r="D138">
        <v>13</v>
      </c>
      <c r="E138" s="14">
        <v>4791</v>
      </c>
      <c r="F138" s="14">
        <v>5143</v>
      </c>
      <c r="I138" t="s">
        <v>112</v>
      </c>
      <c r="J138">
        <v>10</v>
      </c>
      <c r="K138">
        <v>25.3</v>
      </c>
      <c r="L138" s="64">
        <v>3978</v>
      </c>
      <c r="M138" s="64">
        <v>4064</v>
      </c>
      <c r="P138" t="s">
        <v>112</v>
      </c>
      <c r="Q138">
        <v>15</v>
      </c>
      <c r="R138">
        <v>9.6</v>
      </c>
      <c r="S138" s="14">
        <v>4128</v>
      </c>
      <c r="T138" s="14">
        <v>4666</v>
      </c>
    </row>
    <row r="139" spans="1:22" x14ac:dyDescent="0.3">
      <c r="B139" t="s">
        <v>113</v>
      </c>
      <c r="C139">
        <v>20</v>
      </c>
      <c r="D139">
        <v>7.8</v>
      </c>
      <c r="E139" s="14">
        <v>4561</v>
      </c>
      <c r="F139" s="14">
        <v>4877</v>
      </c>
      <c r="I139" t="s">
        <v>113</v>
      </c>
      <c r="J139">
        <v>26</v>
      </c>
      <c r="K139">
        <v>5.7</v>
      </c>
      <c r="L139" s="64">
        <v>5152</v>
      </c>
      <c r="M139" s="64">
        <v>5701</v>
      </c>
      <c r="P139" t="s">
        <v>113</v>
      </c>
      <c r="Q139">
        <v>33</v>
      </c>
      <c r="R139">
        <v>9.3000000000000007</v>
      </c>
      <c r="S139" s="14">
        <v>4905</v>
      </c>
      <c r="T139" s="14">
        <v>5290</v>
      </c>
    </row>
    <row r="140" spans="1:22" x14ac:dyDescent="0.3">
      <c r="B140" t="s">
        <v>114</v>
      </c>
      <c r="C140">
        <v>8</v>
      </c>
      <c r="D140">
        <v>6.4</v>
      </c>
      <c r="E140" s="14">
        <v>3848</v>
      </c>
      <c r="F140" s="14">
        <v>4397</v>
      </c>
      <c r="I140" t="s">
        <v>114</v>
      </c>
      <c r="J140">
        <v>21</v>
      </c>
      <c r="K140">
        <v>11.6</v>
      </c>
      <c r="L140" s="64">
        <v>4000</v>
      </c>
      <c r="M140" s="64">
        <v>3949</v>
      </c>
      <c r="P140" t="s">
        <v>114</v>
      </c>
      <c r="Q140">
        <v>25</v>
      </c>
      <c r="R140">
        <v>9.1999999999999993</v>
      </c>
      <c r="S140" s="14">
        <v>3931</v>
      </c>
      <c r="T140" s="14">
        <v>4607</v>
      </c>
    </row>
    <row r="141" spans="1:22" x14ac:dyDescent="0.3">
      <c r="B141" t="s">
        <v>115</v>
      </c>
      <c r="C141">
        <v>14</v>
      </c>
      <c r="D141">
        <v>8.6999999999999993</v>
      </c>
      <c r="E141" s="14">
        <v>4496</v>
      </c>
      <c r="F141" s="14">
        <v>4884</v>
      </c>
      <c r="I141" t="s">
        <v>115</v>
      </c>
      <c r="J141">
        <v>8</v>
      </c>
      <c r="K141">
        <v>11.4</v>
      </c>
      <c r="L141" s="64">
        <v>4097</v>
      </c>
      <c r="M141" s="64">
        <v>4318</v>
      </c>
      <c r="P141" t="s">
        <v>115</v>
      </c>
      <c r="Q141">
        <v>15</v>
      </c>
      <c r="R141">
        <v>15.6</v>
      </c>
      <c r="S141" s="14">
        <v>3778</v>
      </c>
      <c r="T141" s="14">
        <v>4036</v>
      </c>
    </row>
    <row r="142" spans="1:22" x14ac:dyDescent="0.3">
      <c r="B142" t="s">
        <v>116</v>
      </c>
      <c r="C142">
        <v>59</v>
      </c>
      <c r="D142">
        <v>6.4</v>
      </c>
      <c r="E142" s="14">
        <v>10427</v>
      </c>
      <c r="F142" s="14">
        <v>11059</v>
      </c>
      <c r="I142" t="s">
        <v>116</v>
      </c>
      <c r="J142">
        <v>107</v>
      </c>
      <c r="K142">
        <v>7.6</v>
      </c>
      <c r="L142" s="64">
        <v>9723</v>
      </c>
      <c r="M142" s="64">
        <v>9742</v>
      </c>
      <c r="P142" t="s">
        <v>116</v>
      </c>
      <c r="Q142">
        <v>115</v>
      </c>
      <c r="R142">
        <v>5.8</v>
      </c>
      <c r="S142" s="14">
        <v>9500</v>
      </c>
      <c r="T142" s="14">
        <v>10485</v>
      </c>
    </row>
    <row r="143" spans="1:22" x14ac:dyDescent="0.3">
      <c r="B143" t="s">
        <v>117</v>
      </c>
      <c r="C143">
        <v>25</v>
      </c>
      <c r="D143">
        <v>5.5</v>
      </c>
      <c r="E143" s="14">
        <v>11833</v>
      </c>
      <c r="F143" s="14">
        <v>11957</v>
      </c>
      <c r="I143" t="s">
        <v>117</v>
      </c>
      <c r="J143">
        <v>55</v>
      </c>
      <c r="K143">
        <v>5</v>
      </c>
      <c r="L143" s="64">
        <v>12041</v>
      </c>
      <c r="M143" s="64">
        <v>11692</v>
      </c>
      <c r="P143" t="s">
        <v>117</v>
      </c>
      <c r="Q143">
        <v>44</v>
      </c>
      <c r="R143">
        <v>4.8</v>
      </c>
      <c r="S143" s="14">
        <v>11238</v>
      </c>
      <c r="T143" s="14">
        <v>11122</v>
      </c>
    </row>
    <row r="144" spans="1:22" x14ac:dyDescent="0.3">
      <c r="B144" t="s">
        <v>128</v>
      </c>
      <c r="C144">
        <v>9</v>
      </c>
      <c r="D144">
        <v>6.3</v>
      </c>
      <c r="E144" s="14">
        <v>6798</v>
      </c>
      <c r="F144" s="14">
        <v>6446</v>
      </c>
      <c r="I144" t="s">
        <v>128</v>
      </c>
      <c r="J144">
        <v>12</v>
      </c>
      <c r="K144">
        <v>6.5</v>
      </c>
      <c r="L144" s="64">
        <v>7567</v>
      </c>
      <c r="M144" s="64">
        <v>8194</v>
      </c>
      <c r="P144" t="s">
        <v>128</v>
      </c>
      <c r="Q144">
        <v>9</v>
      </c>
      <c r="R144">
        <v>4.5999999999999996</v>
      </c>
      <c r="S144" s="14">
        <v>6250</v>
      </c>
      <c r="T144" s="14">
        <v>6599</v>
      </c>
    </row>
    <row r="145" spans="2:20" x14ac:dyDescent="0.3">
      <c r="B145" t="s">
        <v>118</v>
      </c>
      <c r="C145">
        <v>64</v>
      </c>
      <c r="D145">
        <v>8.1999999999999993</v>
      </c>
      <c r="E145" s="14">
        <v>7570</v>
      </c>
      <c r="F145" s="14">
        <v>7872</v>
      </c>
      <c r="I145" t="s">
        <v>118</v>
      </c>
      <c r="J145">
        <v>68</v>
      </c>
      <c r="K145">
        <v>9.4</v>
      </c>
      <c r="L145" s="64">
        <v>7079</v>
      </c>
      <c r="M145" s="64">
        <v>7421</v>
      </c>
      <c r="P145" t="s">
        <v>118</v>
      </c>
      <c r="Q145">
        <v>82</v>
      </c>
      <c r="R145">
        <v>12.3</v>
      </c>
      <c r="S145" s="14">
        <v>6642</v>
      </c>
      <c r="T145" s="14">
        <v>7391</v>
      </c>
    </row>
    <row r="146" spans="2:20" x14ac:dyDescent="0.3">
      <c r="B146" t="s">
        <v>119</v>
      </c>
      <c r="C146">
        <v>0</v>
      </c>
      <c r="D146">
        <v>0</v>
      </c>
      <c r="E146" s="45">
        <v>0</v>
      </c>
      <c r="F146" s="45">
        <v>0</v>
      </c>
      <c r="I146" t="s">
        <v>119</v>
      </c>
      <c r="J146">
        <v>0</v>
      </c>
      <c r="K146">
        <v>0</v>
      </c>
      <c r="L146" s="64">
        <v>0</v>
      </c>
      <c r="M146" s="64">
        <v>0</v>
      </c>
      <c r="P146" s="11" t="s">
        <v>119</v>
      </c>
      <c r="Q146" s="11">
        <v>5</v>
      </c>
      <c r="R146" s="11">
        <v>5.7</v>
      </c>
      <c r="S146" s="45">
        <v>2786</v>
      </c>
      <c r="T146" s="45">
        <v>2322</v>
      </c>
    </row>
    <row r="147" spans="2:20" x14ac:dyDescent="0.3">
      <c r="B147" s="6" t="s">
        <v>120</v>
      </c>
      <c r="C147" s="6">
        <v>6</v>
      </c>
      <c r="D147" s="6">
        <v>5.5</v>
      </c>
      <c r="E147" s="19">
        <v>2539</v>
      </c>
      <c r="F147" s="19">
        <v>2787</v>
      </c>
      <c r="I147" s="6" t="s">
        <v>120</v>
      </c>
      <c r="J147" s="6">
        <v>5</v>
      </c>
      <c r="K147" s="6">
        <v>18.3</v>
      </c>
      <c r="L147" s="65">
        <v>1750</v>
      </c>
      <c r="M147" s="65">
        <v>2124</v>
      </c>
      <c r="P147" s="6" t="s">
        <v>120</v>
      </c>
      <c r="Q147" s="6">
        <v>9</v>
      </c>
      <c r="R147" s="6">
        <v>5.9</v>
      </c>
      <c r="S147" s="19">
        <v>3146</v>
      </c>
      <c r="T147" s="19">
        <v>2911</v>
      </c>
    </row>
    <row r="149" spans="2:20" x14ac:dyDescent="0.3">
      <c r="B149" t="s">
        <v>135</v>
      </c>
    </row>
    <row r="150" spans="2:20" x14ac:dyDescent="0.3">
      <c r="B150" t="s">
        <v>136</v>
      </c>
    </row>
    <row r="151" spans="2:20" x14ac:dyDescent="0.3">
      <c r="B151" t="s">
        <v>137</v>
      </c>
    </row>
    <row r="152" spans="2:20" x14ac:dyDescent="0.3">
      <c r="B152" t="s">
        <v>138</v>
      </c>
    </row>
  </sheetData>
  <sheetProtection sheet="1" objects="1" scenarios="1"/>
  <dataValidations count="2">
    <dataValidation type="list" allowBlank="1" showInputMessage="1" showErrorMessage="1" promptTitle="Valitse pudotusvalikosta" prompt="maakunta, jossa tila sijaitsee" sqref="E19" xr:uid="{00000000-0002-0000-0100-000000000000}">
      <formula1>$B$78:$B$95</formula1>
    </dataValidation>
    <dataValidation type="list" errorStyle="information" allowBlank="1" showInputMessage="1" showErrorMessage="1" errorTitle="Valitse pudotusvalikosta" promptTitle="Valitse pudotusvalikosta" prompt="Valitse tukialua pudotusvalikosta. Pudotusvalikko avautuu tuosta solun oikealla puolella olevasta nuoli alaspäin -kuvakkeesta" sqref="E40 E42" xr:uid="{00000000-0002-0000-0100-000001000000}">
      <formula1>Tukialue</formula1>
    </dataValidation>
  </dataValidations>
  <hyperlinks>
    <hyperlink ref="B102" r:id="rId1" xr:uid="{00000000-0004-0000-0100-000000000000}"/>
    <hyperlink ref="C126" r:id="rId2" location="t41g4_x_2016_x_Maakunta" xr:uid="{00000000-0004-0000-0100-000001000000}"/>
  </hyperlinks>
  <printOptions horizontalCentered="1" gridLines="1"/>
  <pageMargins left="0.39370078740157483" right="0.39370078740157483" top="0.39370078740157483" bottom="0.39370078740157483" header="0.31496062992125984" footer="0.19685039370078741"/>
  <pageSetup paperSize="9" scale="86" orientation="portrait" r:id="rId3"/>
  <headerFooter>
    <oddFooter>&amp;L&amp;G&amp;C&amp;G&amp;R&amp;G</oddFooter>
  </headerFooter>
  <colBreaks count="2" manualBreakCount="2">
    <brk id="7" min="1" max="55" man="1"/>
    <brk id="20" max="1048575" man="1"/>
  </colBreaks>
  <legacyDrawing r:id="rId4"/>
  <legacyDrawingHF r:id="rId5"/>
  <extLst>
    <ext xmlns:x14="http://schemas.microsoft.com/office/spreadsheetml/2009/9/main" uri="{CCE6A557-97BC-4b89-ADB6-D9C93CAAB3DF}">
      <x14:dataValidations xmlns:xm="http://schemas.microsoft.com/office/excel/2006/main" count="1">
        <x14:dataValidation type="list" allowBlank="1" showInputMessage="1" showErrorMessage="1" promptTitle="Valitse pudotusvalikosta" prompt="viljelykasvi kasvi, jolle laskelma tehdään" xr:uid="{00000000-0002-0000-0100-000002000000}">
          <x14:formula1>
            <xm:f>Yhteenveto!$B$56:$B$63</xm:f>
          </x14:formula1>
          <xm:sqref>E5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FF"/>
  </sheetPr>
  <dimension ref="A1:M25"/>
  <sheetViews>
    <sheetView zoomScale="120" zoomScaleNormal="120" workbookViewId="0">
      <pane ySplit="3" topLeftCell="A4" activePane="bottomLeft" state="frozen"/>
      <selection pane="bottomLeft" activeCell="C4" sqref="C4"/>
    </sheetView>
  </sheetViews>
  <sheetFormatPr defaultRowHeight="14.4" x14ac:dyDescent="0.3"/>
  <cols>
    <col min="1" max="1" width="3.88671875" customWidth="1"/>
    <col min="2" max="2" width="12.109375" customWidth="1"/>
    <col min="8" max="8" width="9.5546875" bestFit="1" customWidth="1"/>
    <col min="9" max="9" width="9.6640625" customWidth="1"/>
    <col min="11" max="11" width="9.109375" customWidth="1"/>
    <col min="12" max="12" width="12.109375" customWidth="1"/>
  </cols>
  <sheetData>
    <row r="1" spans="1:13" ht="21" x14ac:dyDescent="0.4">
      <c r="A1" s="23" t="s">
        <v>403</v>
      </c>
    </row>
    <row r="2" spans="1:13" x14ac:dyDescent="0.3">
      <c r="A2" s="11"/>
      <c r="B2" s="11"/>
      <c r="D2" s="30" t="s">
        <v>405</v>
      </c>
      <c r="E2" s="11"/>
      <c r="F2" s="11"/>
      <c r="G2" s="11"/>
      <c r="H2" s="11"/>
      <c r="I2" s="11"/>
      <c r="J2" s="11"/>
      <c r="K2" s="11"/>
      <c r="L2" s="11"/>
      <c r="M2" s="11"/>
    </row>
    <row r="3" spans="1:13" ht="43.2" x14ac:dyDescent="0.3">
      <c r="A3" s="34"/>
      <c r="B3" s="34" t="s">
        <v>267</v>
      </c>
      <c r="C3" s="199" t="s">
        <v>268</v>
      </c>
      <c r="D3" s="194" t="s">
        <v>269</v>
      </c>
      <c r="E3" s="194" t="s">
        <v>270</v>
      </c>
      <c r="F3" s="199" t="s">
        <v>376</v>
      </c>
      <c r="G3" s="199" t="s">
        <v>385</v>
      </c>
      <c r="H3" s="199" t="s">
        <v>386</v>
      </c>
      <c r="I3" s="194" t="s">
        <v>392</v>
      </c>
      <c r="J3" s="199" t="s">
        <v>387</v>
      </c>
      <c r="K3" s="262" t="s">
        <v>388</v>
      </c>
      <c r="L3" s="194" t="s">
        <v>389</v>
      </c>
      <c r="M3" s="115"/>
    </row>
    <row r="4" spans="1:13" x14ac:dyDescent="0.3">
      <c r="A4" s="132">
        <v>1</v>
      </c>
      <c r="B4" s="137" t="s">
        <v>271</v>
      </c>
      <c r="C4" s="200">
        <v>20</v>
      </c>
      <c r="D4" s="196">
        <v>5</v>
      </c>
      <c r="E4" s="197">
        <v>1.5</v>
      </c>
      <c r="F4" s="211">
        <f>C4*D4*E4</f>
        <v>150</v>
      </c>
      <c r="G4" s="239">
        <f>F4*10</f>
        <v>1500</v>
      </c>
      <c r="H4" s="200">
        <v>67</v>
      </c>
      <c r="I4" s="205">
        <f>G4*H4</f>
        <v>100500</v>
      </c>
      <c r="J4" s="201">
        <v>0.3</v>
      </c>
      <c r="K4" s="263">
        <f>'7. Laskelma'!$D$11</f>
        <v>0.14000000000000001</v>
      </c>
      <c r="L4" s="205">
        <f>I4*(1-J4)/(1-K4)</f>
        <v>81802.325581395344</v>
      </c>
      <c r="M4" s="268">
        <f>I4*J4</f>
        <v>30150</v>
      </c>
    </row>
    <row r="5" spans="1:13" x14ac:dyDescent="0.3">
      <c r="A5" s="132">
        <v>2</v>
      </c>
      <c r="B5" s="137" t="s">
        <v>272</v>
      </c>
      <c r="C5" s="200"/>
      <c r="D5" s="196"/>
      <c r="E5" s="197"/>
      <c r="F5" s="211">
        <f t="shared" ref="F5:F13" si="0">C5*D5*E5</f>
        <v>0</v>
      </c>
      <c r="G5" s="239">
        <f t="shared" ref="G5:G13" si="1">F5*10</f>
        <v>0</v>
      </c>
      <c r="H5" s="200">
        <v>67</v>
      </c>
      <c r="I5" s="205">
        <f t="shared" ref="I5:I13" si="2">G5*H5</f>
        <v>0</v>
      </c>
      <c r="J5" s="201">
        <v>0.27</v>
      </c>
      <c r="K5" s="263">
        <f>'7. Laskelma'!$D$11</f>
        <v>0.14000000000000001</v>
      </c>
      <c r="L5" s="205">
        <f t="shared" ref="L5:L13" si="3">I5*(1-J5)/(1-K5)</f>
        <v>0</v>
      </c>
      <c r="M5" s="268">
        <f t="shared" ref="M5:M13" si="4">I5*J5</f>
        <v>0</v>
      </c>
    </row>
    <row r="6" spans="1:13" x14ac:dyDescent="0.3">
      <c r="A6">
        <v>3</v>
      </c>
      <c r="B6" s="137" t="s">
        <v>273</v>
      </c>
      <c r="C6" s="200"/>
      <c r="D6" s="196"/>
      <c r="E6" s="197"/>
      <c r="F6" s="211">
        <f>C6*D6*E6</f>
        <v>0</v>
      </c>
      <c r="G6" s="239">
        <f t="shared" si="1"/>
        <v>0</v>
      </c>
      <c r="H6" s="200">
        <v>67</v>
      </c>
      <c r="I6" s="205">
        <f t="shared" si="2"/>
        <v>0</v>
      </c>
      <c r="J6" s="201">
        <v>0.35</v>
      </c>
      <c r="K6" s="263">
        <f>'7. Laskelma'!$D$11</f>
        <v>0.14000000000000001</v>
      </c>
      <c r="L6" s="205">
        <f t="shared" si="3"/>
        <v>0</v>
      </c>
      <c r="M6" s="268">
        <f t="shared" si="4"/>
        <v>0</v>
      </c>
    </row>
    <row r="7" spans="1:13" x14ac:dyDescent="0.3">
      <c r="A7" s="132">
        <v>4</v>
      </c>
      <c r="B7" s="137" t="s">
        <v>274</v>
      </c>
      <c r="C7" s="200"/>
      <c r="D7" s="196"/>
      <c r="E7" s="197"/>
      <c r="F7" s="211">
        <f t="shared" si="0"/>
        <v>0</v>
      </c>
      <c r="G7" s="239">
        <f t="shared" si="1"/>
        <v>0</v>
      </c>
      <c r="H7" s="200">
        <v>62</v>
      </c>
      <c r="I7" s="205">
        <f t="shared" si="2"/>
        <v>0</v>
      </c>
      <c r="J7" s="201">
        <v>0.14000000000000001</v>
      </c>
      <c r="K7" s="263">
        <f>'7. Laskelma'!$D$11</f>
        <v>0.14000000000000001</v>
      </c>
      <c r="L7" s="205">
        <f t="shared" si="3"/>
        <v>0</v>
      </c>
      <c r="M7" s="268">
        <f t="shared" si="4"/>
        <v>0</v>
      </c>
    </row>
    <row r="8" spans="1:13" x14ac:dyDescent="0.3">
      <c r="A8">
        <v>5</v>
      </c>
      <c r="B8" s="137" t="s">
        <v>275</v>
      </c>
      <c r="C8" s="200"/>
      <c r="D8" s="196"/>
      <c r="E8" s="197"/>
      <c r="F8" s="211">
        <f t="shared" si="0"/>
        <v>0</v>
      </c>
      <c r="G8" s="239">
        <f t="shared" si="1"/>
        <v>0</v>
      </c>
      <c r="H8" s="200">
        <v>62</v>
      </c>
      <c r="I8" s="205">
        <f t="shared" si="2"/>
        <v>0</v>
      </c>
      <c r="J8" s="201">
        <v>0.25</v>
      </c>
      <c r="K8" s="263">
        <f>'7. Laskelma'!$D$11</f>
        <v>0.14000000000000001</v>
      </c>
      <c r="L8" s="205">
        <f t="shared" si="3"/>
        <v>0</v>
      </c>
      <c r="M8" s="268">
        <f t="shared" si="4"/>
        <v>0</v>
      </c>
    </row>
    <row r="9" spans="1:13" x14ac:dyDescent="0.3">
      <c r="A9" s="132">
        <v>6</v>
      </c>
      <c r="B9" s="137" t="s">
        <v>330</v>
      </c>
      <c r="C9" s="234">
        <v>2</v>
      </c>
      <c r="D9" s="235">
        <v>5</v>
      </c>
      <c r="E9" s="235">
        <v>1</v>
      </c>
      <c r="F9" s="238">
        <f t="shared" si="0"/>
        <v>10</v>
      </c>
      <c r="G9" s="239">
        <f t="shared" si="1"/>
        <v>100</v>
      </c>
      <c r="H9" s="200">
        <v>67</v>
      </c>
      <c r="I9" s="205">
        <f t="shared" si="2"/>
        <v>6700</v>
      </c>
      <c r="J9" s="201">
        <v>0.21</v>
      </c>
      <c r="K9" s="263">
        <f>'7. Laskelma'!$D$11</f>
        <v>0.14000000000000001</v>
      </c>
      <c r="L9" s="205">
        <f t="shared" si="3"/>
        <v>6154.6511627906975</v>
      </c>
      <c r="M9" s="268">
        <f t="shared" si="4"/>
        <v>1407</v>
      </c>
    </row>
    <row r="10" spans="1:13" x14ac:dyDescent="0.3">
      <c r="A10">
        <v>7</v>
      </c>
      <c r="B10" s="137" t="s">
        <v>328</v>
      </c>
      <c r="C10" s="234">
        <v>2.5</v>
      </c>
      <c r="D10" s="235">
        <v>5</v>
      </c>
      <c r="E10" s="235">
        <v>1.5</v>
      </c>
      <c r="F10" s="238">
        <f t="shared" si="0"/>
        <v>18.75</v>
      </c>
      <c r="G10" s="239">
        <f t="shared" si="1"/>
        <v>187.5</v>
      </c>
      <c r="H10" s="200">
        <v>67</v>
      </c>
      <c r="I10" s="205">
        <f t="shared" si="2"/>
        <v>12562.5</v>
      </c>
      <c r="J10" s="201">
        <v>0.21</v>
      </c>
      <c r="K10" s="263">
        <f>'7. Laskelma'!$D$11</f>
        <v>0.14000000000000001</v>
      </c>
      <c r="L10" s="205">
        <f t="shared" si="3"/>
        <v>11539.970930232559</v>
      </c>
      <c r="M10" s="268">
        <f t="shared" si="4"/>
        <v>2638.125</v>
      </c>
    </row>
    <row r="11" spans="1:13" x14ac:dyDescent="0.3">
      <c r="A11" s="132">
        <v>8</v>
      </c>
      <c r="B11" s="137" t="s">
        <v>329</v>
      </c>
      <c r="C11" s="234"/>
      <c r="D11" s="235"/>
      <c r="E11" s="235"/>
      <c r="F11" s="238">
        <f t="shared" si="0"/>
        <v>0</v>
      </c>
      <c r="G11" s="239">
        <f t="shared" si="1"/>
        <v>0</v>
      </c>
      <c r="H11" s="200">
        <v>67</v>
      </c>
      <c r="I11" s="205">
        <f t="shared" si="2"/>
        <v>0</v>
      </c>
      <c r="J11" s="201">
        <v>0.14000000000000001</v>
      </c>
      <c r="K11" s="263">
        <f>'7. Laskelma'!$D$11</f>
        <v>0.14000000000000001</v>
      </c>
      <c r="L11" s="205">
        <f t="shared" si="3"/>
        <v>0</v>
      </c>
      <c r="M11" s="268">
        <f t="shared" si="4"/>
        <v>0</v>
      </c>
    </row>
    <row r="12" spans="1:13" x14ac:dyDescent="0.3">
      <c r="A12">
        <v>9</v>
      </c>
      <c r="B12" s="137" t="s">
        <v>406</v>
      </c>
      <c r="C12" s="234"/>
      <c r="D12" s="235"/>
      <c r="E12" s="235"/>
      <c r="F12" s="238">
        <f t="shared" si="0"/>
        <v>0</v>
      </c>
      <c r="G12" s="239">
        <f t="shared" si="1"/>
        <v>0</v>
      </c>
      <c r="H12" s="200">
        <v>67</v>
      </c>
      <c r="I12" s="205">
        <f t="shared" si="2"/>
        <v>0</v>
      </c>
      <c r="J12" s="201">
        <v>0.14000000000000001</v>
      </c>
      <c r="K12" s="263">
        <f>'7. Laskelma'!$D$11</f>
        <v>0.14000000000000001</v>
      </c>
      <c r="L12" s="205">
        <f t="shared" si="3"/>
        <v>0</v>
      </c>
      <c r="M12" s="268">
        <f t="shared" si="4"/>
        <v>0</v>
      </c>
    </row>
    <row r="13" spans="1:13" x14ac:dyDescent="0.3">
      <c r="A13" s="132">
        <v>10</v>
      </c>
      <c r="B13" s="137" t="s">
        <v>407</v>
      </c>
      <c r="C13" s="234"/>
      <c r="D13" s="235"/>
      <c r="E13" s="235"/>
      <c r="F13" s="238">
        <f t="shared" si="0"/>
        <v>0</v>
      </c>
      <c r="G13" s="239">
        <f t="shared" si="1"/>
        <v>0</v>
      </c>
      <c r="H13" s="200">
        <v>67</v>
      </c>
      <c r="I13" s="205">
        <f t="shared" si="2"/>
        <v>0</v>
      </c>
      <c r="J13" s="201">
        <v>0.14000000000000001</v>
      </c>
      <c r="K13" s="263">
        <f>'7. Laskelma'!$D$11</f>
        <v>0.14000000000000001</v>
      </c>
      <c r="L13" s="205">
        <f t="shared" si="3"/>
        <v>0</v>
      </c>
      <c r="M13" s="268">
        <f t="shared" si="4"/>
        <v>0</v>
      </c>
    </row>
    <row r="14" spans="1:13" x14ac:dyDescent="0.3">
      <c r="A14" s="132"/>
      <c r="B14" s="137"/>
      <c r="C14" s="196"/>
      <c r="D14" s="196"/>
      <c r="E14" s="197"/>
      <c r="F14" s="190"/>
      <c r="G14" s="190"/>
      <c r="H14" s="196"/>
      <c r="I14" s="190"/>
      <c r="J14" s="198"/>
      <c r="K14" s="198"/>
      <c r="L14" s="190"/>
      <c r="M14" s="269"/>
    </row>
    <row r="15" spans="1:13" x14ac:dyDescent="0.3">
      <c r="A15" s="143" t="s">
        <v>391</v>
      </c>
      <c r="B15" s="143"/>
      <c r="D15" s="27" t="s">
        <v>405</v>
      </c>
      <c r="E15" s="197"/>
      <c r="F15" s="237">
        <f>PI()</f>
        <v>3.1415926535897931</v>
      </c>
      <c r="G15" s="190"/>
      <c r="H15" s="196"/>
      <c r="I15" s="190"/>
      <c r="J15" s="198"/>
      <c r="K15" s="198"/>
      <c r="L15" s="190"/>
      <c r="M15" s="269"/>
    </row>
    <row r="16" spans="1:13" ht="43.2" x14ac:dyDescent="0.3">
      <c r="A16" s="34"/>
      <c r="B16" s="34" t="s">
        <v>267</v>
      </c>
      <c r="C16" s="199" t="s">
        <v>390</v>
      </c>
      <c r="D16" s="194" t="s">
        <v>393</v>
      </c>
      <c r="E16" s="194" t="s">
        <v>270</v>
      </c>
      <c r="F16" s="199" t="s">
        <v>376</v>
      </c>
      <c r="G16" s="199" t="s">
        <v>385</v>
      </c>
      <c r="H16" s="199" t="s">
        <v>386</v>
      </c>
      <c r="I16" s="194" t="s">
        <v>392</v>
      </c>
      <c r="J16" s="199" t="s">
        <v>387</v>
      </c>
      <c r="K16" s="262" t="s">
        <v>388</v>
      </c>
      <c r="L16" s="194" t="s">
        <v>389</v>
      </c>
      <c r="M16" s="268"/>
    </row>
    <row r="17" spans="1:13" x14ac:dyDescent="0.3">
      <c r="A17">
        <v>11</v>
      </c>
      <c r="B17" s="137" t="s">
        <v>371</v>
      </c>
      <c r="C17" s="234">
        <v>4</v>
      </c>
      <c r="D17" s="236">
        <f>C17/2</f>
        <v>2</v>
      </c>
      <c r="E17" s="235">
        <v>5</v>
      </c>
      <c r="F17" s="211">
        <f>POWER(D17,2)*$F$15*E17</f>
        <v>62.831853071795862</v>
      </c>
      <c r="G17" s="239">
        <f>F17*10</f>
        <v>628.31853071795865</v>
      </c>
      <c r="H17" s="200">
        <v>67</v>
      </c>
      <c r="I17" s="205">
        <f t="shared" ref="I17:I21" si="5">G17*H17</f>
        <v>42097.341558103231</v>
      </c>
      <c r="J17" s="201">
        <v>0.14000000000000001</v>
      </c>
      <c r="K17" s="263">
        <f>'7. Laskelma'!$D$11</f>
        <v>0.14000000000000001</v>
      </c>
      <c r="L17" s="205">
        <f t="shared" ref="L17:L21" si="6">I17*(1-J17)/(1-K17)</f>
        <v>42097.341558103231</v>
      </c>
      <c r="M17" s="268">
        <f t="shared" ref="M17:M21" si="7">I17*J17</f>
        <v>5893.6278181344533</v>
      </c>
    </row>
    <row r="18" spans="1:13" x14ac:dyDescent="0.3">
      <c r="A18" s="132">
        <v>12</v>
      </c>
      <c r="B18" s="137" t="s">
        <v>372</v>
      </c>
      <c r="C18" s="234">
        <v>6</v>
      </c>
      <c r="D18" s="236">
        <f t="shared" ref="D18:D21" si="8">C18/2</f>
        <v>3</v>
      </c>
      <c r="E18" s="235">
        <v>7</v>
      </c>
      <c r="F18" s="211">
        <f>POWER(D18,2)*$F$15*E18</f>
        <v>197.92033717615698</v>
      </c>
      <c r="G18" s="239">
        <f t="shared" ref="G18:G21" si="9">F18*10</f>
        <v>1979.2033717615698</v>
      </c>
      <c r="H18" s="200">
        <v>67</v>
      </c>
      <c r="I18" s="205">
        <f t="shared" si="5"/>
        <v>132606.62590802516</v>
      </c>
      <c r="J18" s="201">
        <v>0.14000000000000001</v>
      </c>
      <c r="K18" s="263">
        <f>'7. Laskelma'!$D$11</f>
        <v>0.14000000000000001</v>
      </c>
      <c r="L18" s="205">
        <f t="shared" si="6"/>
        <v>132606.62590802516</v>
      </c>
      <c r="M18" s="268">
        <f t="shared" si="7"/>
        <v>18564.927627123525</v>
      </c>
    </row>
    <row r="19" spans="1:13" x14ac:dyDescent="0.3">
      <c r="A19">
        <v>13</v>
      </c>
      <c r="B19" s="137" t="s">
        <v>373</v>
      </c>
      <c r="C19" s="234"/>
      <c r="D19" s="236">
        <f t="shared" si="8"/>
        <v>0</v>
      </c>
      <c r="E19" s="235"/>
      <c r="F19" s="211">
        <f t="shared" ref="F19:F21" si="10">POWER(D19,2)*$F$15*E19</f>
        <v>0</v>
      </c>
      <c r="G19" s="239">
        <f t="shared" si="9"/>
        <v>0</v>
      </c>
      <c r="H19" s="200">
        <v>67</v>
      </c>
      <c r="I19" s="205">
        <f t="shared" si="5"/>
        <v>0</v>
      </c>
      <c r="J19" s="201">
        <v>0.14000000000000001</v>
      </c>
      <c r="K19" s="263">
        <f>'7. Laskelma'!$D$11</f>
        <v>0.14000000000000001</v>
      </c>
      <c r="L19" s="205">
        <f t="shared" si="6"/>
        <v>0</v>
      </c>
      <c r="M19" s="268">
        <f t="shared" si="7"/>
        <v>0</v>
      </c>
    </row>
    <row r="20" spans="1:13" x14ac:dyDescent="0.3">
      <c r="A20" s="132">
        <v>14</v>
      </c>
      <c r="B20" s="137" t="s">
        <v>374</v>
      </c>
      <c r="C20" s="234"/>
      <c r="D20" s="236">
        <f t="shared" si="8"/>
        <v>0</v>
      </c>
      <c r="E20" s="235"/>
      <c r="F20" s="211">
        <f t="shared" si="10"/>
        <v>0</v>
      </c>
      <c r="G20" s="239">
        <f t="shared" si="9"/>
        <v>0</v>
      </c>
      <c r="H20" s="200">
        <v>67</v>
      </c>
      <c r="I20" s="205">
        <f t="shared" si="5"/>
        <v>0</v>
      </c>
      <c r="J20" s="201">
        <v>0.14000000000000001</v>
      </c>
      <c r="K20" s="263">
        <f>'7. Laskelma'!$D$11</f>
        <v>0.14000000000000001</v>
      </c>
      <c r="L20" s="205">
        <f t="shared" si="6"/>
        <v>0</v>
      </c>
      <c r="M20" s="268">
        <f t="shared" si="7"/>
        <v>0</v>
      </c>
    </row>
    <row r="21" spans="1:13" x14ac:dyDescent="0.3">
      <c r="A21">
        <v>15</v>
      </c>
      <c r="B21" s="137" t="s">
        <v>375</v>
      </c>
      <c r="C21" s="234"/>
      <c r="D21" s="236">
        <f t="shared" si="8"/>
        <v>0</v>
      </c>
      <c r="E21" s="235"/>
      <c r="F21" s="211">
        <f t="shared" si="10"/>
        <v>0</v>
      </c>
      <c r="G21" s="239">
        <f t="shared" si="9"/>
        <v>0</v>
      </c>
      <c r="H21" s="200">
        <v>67</v>
      </c>
      <c r="I21" s="205">
        <f t="shared" si="5"/>
        <v>0</v>
      </c>
      <c r="J21" s="201">
        <v>0.14000000000000001</v>
      </c>
      <c r="K21" s="263">
        <f>'7. Laskelma'!$D$11</f>
        <v>0.14000000000000001</v>
      </c>
      <c r="L21" s="205">
        <f t="shared" si="6"/>
        <v>0</v>
      </c>
      <c r="M21" s="268">
        <f t="shared" si="7"/>
        <v>0</v>
      </c>
    </row>
    <row r="22" spans="1:13" x14ac:dyDescent="0.3">
      <c r="M22" s="269"/>
    </row>
    <row r="23" spans="1:13" x14ac:dyDescent="0.3">
      <c r="A23" s="53" t="s">
        <v>44</v>
      </c>
      <c r="B23" s="53"/>
      <c r="C23" s="264"/>
      <c r="D23" s="67"/>
      <c r="E23" s="67"/>
      <c r="F23" s="241">
        <f>SUM(F4:F13,F17:F21)</f>
        <v>439.50219024795285</v>
      </c>
      <c r="G23" s="241">
        <f>SUM(G4:G13,G17:G21)</f>
        <v>4395.0219024795288</v>
      </c>
      <c r="H23" s="240">
        <f>I23/G23</f>
        <v>67</v>
      </c>
      <c r="I23" s="256">
        <f>SUM(I4:I13,I17:I21)</f>
        <v>294466.46746612841</v>
      </c>
      <c r="J23" s="267">
        <f>M23/I23</f>
        <v>0.19918628069936262</v>
      </c>
      <c r="K23" s="270">
        <f>K4</f>
        <v>0.14000000000000001</v>
      </c>
      <c r="L23" s="256">
        <f>SUM(L4:L13,L17:L21)</f>
        <v>274200.91514054697</v>
      </c>
      <c r="M23" s="268">
        <f>SUM(M4:M21)</f>
        <v>58653.680445257982</v>
      </c>
    </row>
    <row r="24" spans="1:13" x14ac:dyDescent="0.3">
      <c r="A24" s="53" t="s">
        <v>404</v>
      </c>
      <c r="B24" s="53"/>
      <c r="C24" s="266">
        <f>'1. Pelto'!E8</f>
        <v>60</v>
      </c>
      <c r="D24" s="67" t="s">
        <v>66</v>
      </c>
      <c r="E24" s="67"/>
      <c r="F24" s="265">
        <f>F23/C24</f>
        <v>7.3250365041325471</v>
      </c>
      <c r="G24" s="241">
        <f>G23/C24</f>
        <v>73.25036504132548</v>
      </c>
      <c r="H24" s="240"/>
      <c r="I24" s="256">
        <f>I23/C24</f>
        <v>4907.7744577688072</v>
      </c>
      <c r="J24" s="267"/>
      <c r="K24" s="242"/>
      <c r="L24" s="256">
        <f>L23/C24</f>
        <v>4570.0152523424495</v>
      </c>
      <c r="M24" s="268"/>
    </row>
    <row r="25" spans="1:13" x14ac:dyDescent="0.3">
      <c r="I25" t="s">
        <v>397</v>
      </c>
      <c r="M25" s="271"/>
    </row>
  </sheetData>
  <sheetProtection sheet="1" objects="1" scenarios="1"/>
  <phoneticPr fontId="28" type="noConversion"/>
  <pageMargins left="0.39370078740157483" right="0.39370078740157483" top="0.39370078740157483" bottom="0.39370078740157483"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AB50"/>
  <sheetViews>
    <sheetView zoomScale="120" zoomScaleNormal="120" workbookViewId="0">
      <pane xSplit="2" ySplit="7" topLeftCell="C8" activePane="bottomRight" state="frozen"/>
      <selection pane="topRight" activeCell="C1" sqref="C1"/>
      <selection pane="bottomLeft" activeCell="A8" sqref="A8"/>
      <selection pane="bottomRight" activeCell="B8" sqref="B8"/>
    </sheetView>
  </sheetViews>
  <sheetFormatPr defaultRowHeight="14.4" x14ac:dyDescent="0.3"/>
  <cols>
    <col min="1" max="1" width="3.5546875" customWidth="1"/>
    <col min="2" max="2" width="20.6640625" customWidth="1"/>
    <col min="3" max="7" width="8.5546875" customWidth="1"/>
    <col min="8" max="8" width="2.5546875" customWidth="1"/>
    <col min="9" max="11" width="8.44140625" customWidth="1"/>
    <col min="12" max="12" width="2.5546875" customWidth="1"/>
    <col min="13" max="18" width="8.5546875" customWidth="1"/>
    <col min="19" max="19" width="3" customWidth="1"/>
    <col min="20" max="23" width="8.5546875" customWidth="1"/>
    <col min="24" max="24" width="2.6640625" customWidth="1"/>
    <col min="25" max="26" width="9.5546875" style="71" customWidth="1"/>
    <col min="27" max="28" width="9.109375" style="71"/>
  </cols>
  <sheetData>
    <row r="1" spans="1:28" ht="21" x14ac:dyDescent="0.4">
      <c r="B1" s="23" t="s">
        <v>24</v>
      </c>
      <c r="I1" s="4" t="s">
        <v>181</v>
      </c>
      <c r="L1" t="s">
        <v>408</v>
      </c>
      <c r="M1" s="89" t="s">
        <v>239</v>
      </c>
      <c r="O1" s="98"/>
      <c r="P1" s="98"/>
      <c r="Q1" s="98"/>
      <c r="R1" s="98"/>
      <c r="T1" s="4" t="s">
        <v>183</v>
      </c>
      <c r="U1" s="98"/>
      <c r="V1" s="98"/>
      <c r="W1" s="98"/>
      <c r="X1" t="s">
        <v>408</v>
      </c>
      <c r="Y1" s="84" t="s">
        <v>159</v>
      </c>
    </row>
    <row r="2" spans="1:28" s="4" customFormat="1" x14ac:dyDescent="0.3">
      <c r="C2" s="14"/>
      <c r="D2" s="14"/>
      <c r="E2" s="14"/>
      <c r="F2" s="14"/>
      <c r="G2" s="14"/>
      <c r="H2" s="42" t="s">
        <v>22</v>
      </c>
      <c r="I2" s="272">
        <f>SUM(J2:K2)</f>
        <v>120</v>
      </c>
      <c r="J2" s="18">
        <f>'1. Pelto'!E8</f>
        <v>60</v>
      </c>
      <c r="K2" s="18">
        <f>'1. Pelto'!E14</f>
        <v>60</v>
      </c>
      <c r="L2" s="14"/>
      <c r="M2" s="14"/>
      <c r="N2" s="14"/>
      <c r="O2" s="14"/>
      <c r="P2" s="42"/>
      <c r="Q2" s="18"/>
      <c r="R2" s="18"/>
      <c r="S2"/>
      <c r="T2"/>
      <c r="U2" s="42"/>
      <c r="V2" s="18"/>
      <c r="W2" s="18"/>
      <c r="X2"/>
      <c r="Y2" s="42" t="s">
        <v>22</v>
      </c>
      <c r="Z2" s="83">
        <f>SUM(AA2:AB2)</f>
        <v>120</v>
      </c>
      <c r="AA2" s="18">
        <f>'1. Pelto'!E8</f>
        <v>60</v>
      </c>
      <c r="AB2" s="18">
        <f>'1. Pelto'!E14</f>
        <v>60</v>
      </c>
    </row>
    <row r="3" spans="1:28" x14ac:dyDescent="0.3">
      <c r="B3" s="4"/>
      <c r="C3" s="14"/>
      <c r="D3" s="14"/>
      <c r="E3" s="14"/>
      <c r="F3" s="14"/>
      <c r="G3" s="14"/>
      <c r="H3" s="42" t="s">
        <v>20</v>
      </c>
      <c r="I3" s="8">
        <f>I4/I2</f>
        <v>387.63749999999993</v>
      </c>
      <c r="J3" s="259">
        <f>J4/J2</f>
        <v>387.63749999999993</v>
      </c>
      <c r="K3" s="8">
        <f>K4/K2</f>
        <v>387.63749999999993</v>
      </c>
      <c r="L3" s="14"/>
      <c r="M3" s="14"/>
      <c r="O3" s="14"/>
      <c r="P3" s="42"/>
      <c r="Q3" s="8"/>
      <c r="R3" s="8"/>
      <c r="U3" s="42"/>
      <c r="V3" s="8"/>
      <c r="W3" s="8"/>
      <c r="Y3" s="42" t="s">
        <v>20</v>
      </c>
      <c r="Z3" s="83">
        <f>Z4/Z2</f>
        <v>2418.2222222222217</v>
      </c>
      <c r="AA3" s="83">
        <f t="shared" ref="AA3:AB3" si="0">AA4/AA2</f>
        <v>2418.2222222222217</v>
      </c>
      <c r="AB3" s="83">
        <f t="shared" si="0"/>
        <v>2418.2222222222217</v>
      </c>
    </row>
    <row r="4" spans="1:28" x14ac:dyDescent="0.3">
      <c r="B4" s="4" t="s">
        <v>40</v>
      </c>
      <c r="C4" s="39">
        <f>SUM(C8:C51)</f>
        <v>425500</v>
      </c>
      <c r="D4" s="39"/>
      <c r="E4" s="39">
        <f>(C4-F4)/M4</f>
        <v>13.547008547008545</v>
      </c>
      <c r="F4" s="39">
        <f>SUM(F8:F51)</f>
        <v>140200</v>
      </c>
      <c r="G4" s="39">
        <f>SUM(G8:G51)</f>
        <v>14142.5</v>
      </c>
      <c r="H4" s="39"/>
      <c r="I4" s="39">
        <f>P4+U4</f>
        <v>46516.499999999993</v>
      </c>
      <c r="J4" s="273">
        <f>Q4+V4</f>
        <v>23258.249999999996</v>
      </c>
      <c r="K4" s="218">
        <f>R4+W4</f>
        <v>23258.249999999996</v>
      </c>
      <c r="L4" s="39"/>
      <c r="M4" s="39">
        <f>SUM(M8:M37)</f>
        <v>21060.000000000004</v>
      </c>
      <c r="N4" s="39">
        <f t="shared" ref="N4:R4" si="1">SUM(N8:N37)</f>
        <v>11314</v>
      </c>
      <c r="O4" s="39">
        <f t="shared" si="1"/>
        <v>32373.999999999993</v>
      </c>
      <c r="P4" s="39">
        <f t="shared" si="1"/>
        <v>32373.999999999993</v>
      </c>
      <c r="Q4" s="273">
        <f t="shared" si="1"/>
        <v>16186.999999999996</v>
      </c>
      <c r="R4" s="218">
        <f t="shared" si="1"/>
        <v>16186.999999999996</v>
      </c>
      <c r="S4" s="4"/>
      <c r="T4" s="39">
        <f>SUM(T8:T37)</f>
        <v>14142.5</v>
      </c>
      <c r="U4" s="39">
        <f>SUM(U8:U37)</f>
        <v>14142.5</v>
      </c>
      <c r="V4" s="273">
        <f>SUM(V8:V37)</f>
        <v>7071.25</v>
      </c>
      <c r="W4" s="218">
        <f>SUM(W8:W37)</f>
        <v>7071.25</v>
      </c>
      <c r="X4" s="4"/>
      <c r="Y4" s="82">
        <f>SUM(Y8:Y51)</f>
        <v>290186.66666666663</v>
      </c>
      <c r="Z4" s="82">
        <f>SUM(Z8:Z51)</f>
        <v>290186.66666666663</v>
      </c>
      <c r="AA4" s="82">
        <f>SUM(AA8:AA51)</f>
        <v>145093.33333333331</v>
      </c>
      <c r="AB4" s="82">
        <f>SUM(AB8:AB51)</f>
        <v>145093.33333333331</v>
      </c>
    </row>
    <row r="5" spans="1:28" x14ac:dyDescent="0.3">
      <c r="I5" s="98">
        <f>I4/$I$4</f>
        <v>1</v>
      </c>
      <c r="J5" s="98">
        <f>J4/$I$4</f>
        <v>0.5</v>
      </c>
      <c r="K5" s="98">
        <f>K4/$I$4</f>
        <v>0.5</v>
      </c>
    </row>
    <row r="6" spans="1:28" s="4" customFormat="1" x14ac:dyDescent="0.3">
      <c r="B6" s="4" t="s">
        <v>41</v>
      </c>
      <c r="F6" s="213" t="str">
        <f>IF(L7&gt;0,"Tarkista koneen kokonaiskäyttöaika!","")</f>
        <v/>
      </c>
      <c r="G6" s="179">
        <v>0.05</v>
      </c>
      <c r="H6" s="40"/>
      <c r="L6" s="40"/>
      <c r="N6" s="179">
        <f>'7. Laskelma'!D7</f>
        <v>0.04</v>
      </c>
      <c r="Z6" s="84"/>
      <c r="AA6" s="84"/>
      <c r="AB6" s="84"/>
    </row>
    <row r="7" spans="1:28" ht="45.6" customHeight="1" x14ac:dyDescent="0.3">
      <c r="A7" s="34"/>
      <c r="B7" s="34" t="s">
        <v>25</v>
      </c>
      <c r="C7" s="68" t="s">
        <v>71</v>
      </c>
      <c r="D7" s="68" t="s">
        <v>293</v>
      </c>
      <c r="E7" s="68" t="s">
        <v>301</v>
      </c>
      <c r="F7" s="68" t="s">
        <v>72</v>
      </c>
      <c r="G7" s="68" t="s">
        <v>28</v>
      </c>
      <c r="H7" s="56"/>
      <c r="I7" s="68" t="s">
        <v>74</v>
      </c>
      <c r="J7" s="68" t="str">
        <f>'1. Pelto'!E5</f>
        <v>Ohra</v>
      </c>
      <c r="K7" s="68" t="s">
        <v>238</v>
      </c>
      <c r="L7" s="215">
        <f>SUM(L8:L37)</f>
        <v>0</v>
      </c>
      <c r="M7" s="191" t="s">
        <v>26</v>
      </c>
      <c r="N7" s="191" t="s">
        <v>27</v>
      </c>
      <c r="O7" s="191" t="s">
        <v>29</v>
      </c>
      <c r="P7" s="191" t="s">
        <v>39</v>
      </c>
      <c r="Q7" s="191" t="str">
        <f>J7</f>
        <v>Ohra</v>
      </c>
      <c r="R7" s="191" t="s">
        <v>238</v>
      </c>
      <c r="S7" s="192"/>
      <c r="T7" s="191" t="s">
        <v>28</v>
      </c>
      <c r="U7" s="191" t="s">
        <v>180</v>
      </c>
      <c r="V7" s="191" t="str">
        <f>J7</f>
        <v>Ohra</v>
      </c>
      <c r="W7" s="191" t="s">
        <v>238</v>
      </c>
      <c r="X7" s="214">
        <f>SUM(X8:X37)</f>
        <v>0</v>
      </c>
      <c r="Y7" s="191" t="s">
        <v>296</v>
      </c>
      <c r="Z7" s="191" t="s">
        <v>99</v>
      </c>
      <c r="AA7" s="191" t="str">
        <f>J7</f>
        <v>Ohra</v>
      </c>
      <c r="AB7" s="191" t="s">
        <v>238</v>
      </c>
    </row>
    <row r="8" spans="1:28" x14ac:dyDescent="0.3">
      <c r="A8" s="132">
        <v>1</v>
      </c>
      <c r="B8" s="137" t="s">
        <v>30</v>
      </c>
      <c r="C8" s="133">
        <v>90000</v>
      </c>
      <c r="D8" s="133">
        <v>2</v>
      </c>
      <c r="E8" s="133">
        <v>10</v>
      </c>
      <c r="F8" s="133">
        <v>35000</v>
      </c>
      <c r="G8" s="133">
        <f t="shared" ref="G8:G37" si="2">(C8+F8)/2*$G$6</f>
        <v>3125</v>
      </c>
      <c r="H8" s="212" t="str">
        <f>IF(D8&gt;E8,"!?!","")</f>
        <v/>
      </c>
      <c r="I8" s="178">
        <v>1</v>
      </c>
      <c r="J8" s="178">
        <v>0.5</v>
      </c>
      <c r="K8" s="233">
        <f>1-J8</f>
        <v>0.5</v>
      </c>
      <c r="L8" s="216">
        <f>IF(D8&gt;E8,1,0)</f>
        <v>0</v>
      </c>
      <c r="M8" s="83">
        <f t="shared" ref="M8:M37" si="3">(C8-F8)/E8</f>
        <v>5500</v>
      </c>
      <c r="N8" s="83">
        <f t="shared" ref="N8:N37" si="4">(C8+F8)/2*$N$6</f>
        <v>2500</v>
      </c>
      <c r="O8" s="83">
        <f t="shared" ref="O8:O37" si="5">SUM(M8:N8)</f>
        <v>8000</v>
      </c>
      <c r="P8" s="83">
        <f>O8*I8</f>
        <v>8000</v>
      </c>
      <c r="Q8" s="83">
        <f>P8*J8</f>
        <v>4000</v>
      </c>
      <c r="R8" s="83">
        <f>P8*K8</f>
        <v>4000</v>
      </c>
      <c r="S8" s="16"/>
      <c r="T8" s="83">
        <f t="shared" ref="T8:T37" si="6">G8</f>
        <v>3125</v>
      </c>
      <c r="U8" s="83">
        <f>T8*I8</f>
        <v>3125</v>
      </c>
      <c r="V8" s="83">
        <f>U8*J8</f>
        <v>1562.5</v>
      </c>
      <c r="W8" s="83">
        <f>U8*K8</f>
        <v>1562.5</v>
      </c>
      <c r="X8" s="85">
        <f>IF(Y8&lt;0,1,0)</f>
        <v>0</v>
      </c>
      <c r="Y8" s="83">
        <f>C8-(M8*D8)</f>
        <v>79000</v>
      </c>
      <c r="Z8" s="83">
        <f>Y8*I8</f>
        <v>79000</v>
      </c>
      <c r="AA8" s="83">
        <f>Z8*J8</f>
        <v>39500</v>
      </c>
      <c r="AB8" s="83">
        <f>Z8*K8</f>
        <v>39500</v>
      </c>
    </row>
    <row r="9" spans="1:28" x14ac:dyDescent="0.3">
      <c r="A9" s="132">
        <v>2</v>
      </c>
      <c r="B9" s="137" t="s">
        <v>31</v>
      </c>
      <c r="C9" s="133">
        <v>60000</v>
      </c>
      <c r="D9" s="133">
        <v>8</v>
      </c>
      <c r="E9" s="133">
        <v>10</v>
      </c>
      <c r="F9" s="133">
        <v>30000</v>
      </c>
      <c r="G9" s="133">
        <f t="shared" si="2"/>
        <v>2250</v>
      </c>
      <c r="H9" s="212" t="str">
        <f>IF(D9&gt;E9,"!?!","")</f>
        <v/>
      </c>
      <c r="I9" s="178">
        <v>1</v>
      </c>
      <c r="J9" s="178">
        <v>0.5</v>
      </c>
      <c r="K9" s="233">
        <f t="shared" ref="K9:K37" si="7">1-J9</f>
        <v>0.5</v>
      </c>
      <c r="L9" s="216">
        <f t="shared" ref="L9:L37" si="8">IF(D9&gt;E9,1,0)</f>
        <v>0</v>
      </c>
      <c r="M9" s="83">
        <f t="shared" si="3"/>
        <v>3000</v>
      </c>
      <c r="N9" s="83">
        <f t="shared" si="4"/>
        <v>1800</v>
      </c>
      <c r="O9" s="83">
        <f t="shared" si="5"/>
        <v>4800</v>
      </c>
      <c r="P9" s="83">
        <f t="shared" ref="P9:P37" si="9">O9*I9</f>
        <v>4800</v>
      </c>
      <c r="Q9" s="83">
        <f t="shared" ref="Q9:Q37" si="10">P9*J9</f>
        <v>2400</v>
      </c>
      <c r="R9" s="83">
        <f t="shared" ref="R9:R37" si="11">P9*K9</f>
        <v>2400</v>
      </c>
      <c r="T9" s="83">
        <f t="shared" si="6"/>
        <v>2250</v>
      </c>
      <c r="U9" s="83">
        <f t="shared" ref="U9:U37" si="12">T9*I9</f>
        <v>2250</v>
      </c>
      <c r="V9" s="83">
        <f t="shared" ref="V9:V37" si="13">U9*J9</f>
        <v>1125</v>
      </c>
      <c r="W9" s="83">
        <f t="shared" ref="W9:W37" si="14">U9*K9</f>
        <v>1125</v>
      </c>
      <c r="X9" s="85">
        <f t="shared" ref="X9:X37" si="15">IF(Y9&lt;0,1,0)</f>
        <v>0</v>
      </c>
      <c r="Y9" s="83">
        <f t="shared" ref="Y9:Y37" si="16">C9-(M9*D9)</f>
        <v>36000</v>
      </c>
      <c r="Z9" s="83">
        <f t="shared" ref="Z9:Z37" si="17">Y9*I9</f>
        <v>36000</v>
      </c>
      <c r="AA9" s="83">
        <f t="shared" ref="AA9:AA37" si="18">Z9*J9</f>
        <v>18000</v>
      </c>
      <c r="AB9" s="83">
        <f t="shared" ref="AB9:AB37" si="19">Z9*K9</f>
        <v>18000</v>
      </c>
    </row>
    <row r="10" spans="1:28" x14ac:dyDescent="0.3">
      <c r="A10" s="132">
        <v>3</v>
      </c>
      <c r="B10" s="137" t="s">
        <v>32</v>
      </c>
      <c r="C10" s="133">
        <v>30000</v>
      </c>
      <c r="D10" s="133">
        <v>15</v>
      </c>
      <c r="E10" s="133">
        <v>15</v>
      </c>
      <c r="F10" s="133">
        <v>15000</v>
      </c>
      <c r="G10" s="133">
        <f t="shared" si="2"/>
        <v>1125</v>
      </c>
      <c r="H10" s="212" t="str">
        <f>IF(D10&gt;E10,"!?!","")</f>
        <v/>
      </c>
      <c r="I10" s="178">
        <v>1</v>
      </c>
      <c r="J10" s="178">
        <v>0.5</v>
      </c>
      <c r="K10" s="233">
        <f t="shared" si="7"/>
        <v>0.5</v>
      </c>
      <c r="L10" s="216">
        <f t="shared" si="8"/>
        <v>0</v>
      </c>
      <c r="M10" s="83">
        <f t="shared" si="3"/>
        <v>1000</v>
      </c>
      <c r="N10" s="83">
        <f t="shared" si="4"/>
        <v>900</v>
      </c>
      <c r="O10" s="83">
        <f t="shared" si="5"/>
        <v>1900</v>
      </c>
      <c r="P10" s="83">
        <f t="shared" si="9"/>
        <v>1900</v>
      </c>
      <c r="Q10" s="83">
        <f t="shared" si="10"/>
        <v>950</v>
      </c>
      <c r="R10" s="83">
        <f t="shared" si="11"/>
        <v>950</v>
      </c>
      <c r="T10" s="83">
        <f t="shared" si="6"/>
        <v>1125</v>
      </c>
      <c r="U10" s="83">
        <f t="shared" si="12"/>
        <v>1125</v>
      </c>
      <c r="V10" s="83">
        <f t="shared" si="13"/>
        <v>562.5</v>
      </c>
      <c r="W10" s="83">
        <f t="shared" si="14"/>
        <v>562.5</v>
      </c>
      <c r="X10" s="85">
        <f t="shared" si="15"/>
        <v>0</v>
      </c>
      <c r="Y10" s="83">
        <f t="shared" si="16"/>
        <v>15000</v>
      </c>
      <c r="Z10" s="83">
        <f t="shared" si="17"/>
        <v>15000</v>
      </c>
      <c r="AA10" s="83">
        <f t="shared" si="18"/>
        <v>7500</v>
      </c>
      <c r="AB10" s="83">
        <f t="shared" si="19"/>
        <v>7500</v>
      </c>
    </row>
    <row r="11" spans="1:28" x14ac:dyDescent="0.3">
      <c r="A11" s="132">
        <v>4</v>
      </c>
      <c r="B11" s="137" t="s">
        <v>33</v>
      </c>
      <c r="C11" s="133">
        <v>15000</v>
      </c>
      <c r="D11" s="133">
        <v>5</v>
      </c>
      <c r="E11" s="133">
        <v>15</v>
      </c>
      <c r="F11" s="133">
        <v>3000</v>
      </c>
      <c r="G11" s="133">
        <f t="shared" si="2"/>
        <v>450</v>
      </c>
      <c r="H11" s="212" t="str">
        <f t="shared" ref="H11:H37" si="20">IF(D11&gt;E11,"!?!","")</f>
        <v/>
      </c>
      <c r="I11" s="178">
        <v>1</v>
      </c>
      <c r="J11" s="178">
        <v>0.5</v>
      </c>
      <c r="K11" s="233">
        <f t="shared" si="7"/>
        <v>0.5</v>
      </c>
      <c r="L11" s="216">
        <f t="shared" si="8"/>
        <v>0</v>
      </c>
      <c r="M11" s="83">
        <f t="shared" si="3"/>
        <v>800</v>
      </c>
      <c r="N11" s="83">
        <f t="shared" si="4"/>
        <v>360</v>
      </c>
      <c r="O11" s="83">
        <f t="shared" si="5"/>
        <v>1160</v>
      </c>
      <c r="P11" s="83">
        <f t="shared" si="9"/>
        <v>1160</v>
      </c>
      <c r="Q11" s="83">
        <f t="shared" si="10"/>
        <v>580</v>
      </c>
      <c r="R11" s="83">
        <f t="shared" si="11"/>
        <v>580</v>
      </c>
      <c r="T11" s="83">
        <f t="shared" si="6"/>
        <v>450</v>
      </c>
      <c r="U11" s="83">
        <f t="shared" si="12"/>
        <v>450</v>
      </c>
      <c r="V11" s="83">
        <f t="shared" si="13"/>
        <v>225</v>
      </c>
      <c r="W11" s="83">
        <f t="shared" si="14"/>
        <v>225</v>
      </c>
      <c r="X11" s="85">
        <f t="shared" si="15"/>
        <v>0</v>
      </c>
      <c r="Y11" s="83">
        <f t="shared" si="16"/>
        <v>11000</v>
      </c>
      <c r="Z11" s="83">
        <f t="shared" si="17"/>
        <v>11000</v>
      </c>
      <c r="AA11" s="83">
        <f t="shared" si="18"/>
        <v>5500</v>
      </c>
      <c r="AB11" s="83">
        <f t="shared" si="19"/>
        <v>5500</v>
      </c>
    </row>
    <row r="12" spans="1:28" x14ac:dyDescent="0.3">
      <c r="A12" s="132">
        <v>5</v>
      </c>
      <c r="B12" s="137" t="s">
        <v>34</v>
      </c>
      <c r="C12" s="133">
        <v>20000</v>
      </c>
      <c r="D12" s="133">
        <v>8</v>
      </c>
      <c r="E12" s="133">
        <v>15</v>
      </c>
      <c r="F12" s="133">
        <v>3000</v>
      </c>
      <c r="G12" s="133">
        <f>(C12+F12)/2*$G$6</f>
        <v>575</v>
      </c>
      <c r="H12" s="212" t="str">
        <f t="shared" si="20"/>
        <v/>
      </c>
      <c r="I12" s="178">
        <v>1</v>
      </c>
      <c r="J12" s="178">
        <v>0.5</v>
      </c>
      <c r="K12" s="233">
        <f t="shared" si="7"/>
        <v>0.5</v>
      </c>
      <c r="L12" s="216">
        <f t="shared" si="8"/>
        <v>0</v>
      </c>
      <c r="M12" s="83">
        <f t="shared" si="3"/>
        <v>1133.3333333333333</v>
      </c>
      <c r="N12" s="83">
        <f t="shared" si="4"/>
        <v>460</v>
      </c>
      <c r="O12" s="83">
        <f t="shared" si="5"/>
        <v>1593.3333333333333</v>
      </c>
      <c r="P12" s="83">
        <f t="shared" si="9"/>
        <v>1593.3333333333333</v>
      </c>
      <c r="Q12" s="83">
        <f t="shared" si="10"/>
        <v>796.66666666666663</v>
      </c>
      <c r="R12" s="83">
        <f t="shared" si="11"/>
        <v>796.66666666666663</v>
      </c>
      <c r="T12" s="83">
        <f t="shared" si="6"/>
        <v>575</v>
      </c>
      <c r="U12" s="83">
        <f t="shared" si="12"/>
        <v>575</v>
      </c>
      <c r="V12" s="83">
        <f t="shared" si="13"/>
        <v>287.5</v>
      </c>
      <c r="W12" s="83">
        <f t="shared" si="14"/>
        <v>287.5</v>
      </c>
      <c r="X12" s="85">
        <f t="shared" si="15"/>
        <v>0</v>
      </c>
      <c r="Y12" s="83">
        <f t="shared" si="16"/>
        <v>10933.333333333334</v>
      </c>
      <c r="Z12" s="83">
        <f t="shared" si="17"/>
        <v>10933.333333333334</v>
      </c>
      <c r="AA12" s="83">
        <f t="shared" si="18"/>
        <v>5466.666666666667</v>
      </c>
      <c r="AB12" s="83">
        <f t="shared" si="19"/>
        <v>5466.666666666667</v>
      </c>
    </row>
    <row r="13" spans="1:28" x14ac:dyDescent="0.3">
      <c r="A13" s="132">
        <v>6</v>
      </c>
      <c r="B13" s="137" t="s">
        <v>326</v>
      </c>
      <c r="C13" s="133">
        <v>10000</v>
      </c>
      <c r="D13" s="133">
        <v>10</v>
      </c>
      <c r="E13" s="133">
        <v>15</v>
      </c>
      <c r="F13" s="133">
        <v>2000</v>
      </c>
      <c r="G13" s="133">
        <f t="shared" si="2"/>
        <v>300</v>
      </c>
      <c r="H13" s="212" t="str">
        <f t="shared" si="20"/>
        <v/>
      </c>
      <c r="I13" s="178">
        <v>1</v>
      </c>
      <c r="J13" s="178">
        <v>0.5</v>
      </c>
      <c r="K13" s="233">
        <f t="shared" si="7"/>
        <v>0.5</v>
      </c>
      <c r="L13" s="216">
        <f t="shared" si="8"/>
        <v>0</v>
      </c>
      <c r="M13" s="83">
        <f t="shared" si="3"/>
        <v>533.33333333333337</v>
      </c>
      <c r="N13" s="83">
        <f t="shared" si="4"/>
        <v>240</v>
      </c>
      <c r="O13" s="83">
        <f t="shared" si="5"/>
        <v>773.33333333333337</v>
      </c>
      <c r="P13" s="83">
        <f t="shared" si="9"/>
        <v>773.33333333333337</v>
      </c>
      <c r="Q13" s="83">
        <f t="shared" si="10"/>
        <v>386.66666666666669</v>
      </c>
      <c r="R13" s="83">
        <f t="shared" si="11"/>
        <v>386.66666666666669</v>
      </c>
      <c r="T13" s="83">
        <f t="shared" si="6"/>
        <v>300</v>
      </c>
      <c r="U13" s="83">
        <f t="shared" si="12"/>
        <v>300</v>
      </c>
      <c r="V13" s="83">
        <f t="shared" si="13"/>
        <v>150</v>
      </c>
      <c r="W13" s="83">
        <f t="shared" si="14"/>
        <v>150</v>
      </c>
      <c r="X13" s="85">
        <f t="shared" si="15"/>
        <v>0</v>
      </c>
      <c r="Y13" s="83">
        <f t="shared" si="16"/>
        <v>4666.6666666666661</v>
      </c>
      <c r="Z13" s="83">
        <f t="shared" si="17"/>
        <v>4666.6666666666661</v>
      </c>
      <c r="AA13" s="83">
        <f t="shared" si="18"/>
        <v>2333.333333333333</v>
      </c>
      <c r="AB13" s="83">
        <f t="shared" si="19"/>
        <v>2333.333333333333</v>
      </c>
    </row>
    <row r="14" spans="1:28" x14ac:dyDescent="0.3">
      <c r="A14" s="132">
        <v>7</v>
      </c>
      <c r="B14" s="137" t="s">
        <v>327</v>
      </c>
      <c r="C14" s="133">
        <v>12000</v>
      </c>
      <c r="D14" s="133">
        <v>20</v>
      </c>
      <c r="E14" s="133">
        <v>30</v>
      </c>
      <c r="F14" s="133">
        <v>5000</v>
      </c>
      <c r="G14" s="133">
        <f t="shared" si="2"/>
        <v>425</v>
      </c>
      <c r="H14" s="212" t="str">
        <f t="shared" si="20"/>
        <v/>
      </c>
      <c r="I14" s="178">
        <v>1</v>
      </c>
      <c r="J14" s="178">
        <v>0.5</v>
      </c>
      <c r="K14" s="233">
        <f t="shared" si="7"/>
        <v>0.5</v>
      </c>
      <c r="L14" s="216">
        <f t="shared" si="8"/>
        <v>0</v>
      </c>
      <c r="M14" s="83">
        <f t="shared" si="3"/>
        <v>233.33333333333334</v>
      </c>
      <c r="N14" s="83">
        <f t="shared" si="4"/>
        <v>340</v>
      </c>
      <c r="O14" s="83">
        <f t="shared" si="5"/>
        <v>573.33333333333337</v>
      </c>
      <c r="P14" s="83">
        <f t="shared" si="9"/>
        <v>573.33333333333337</v>
      </c>
      <c r="Q14" s="83">
        <f t="shared" si="10"/>
        <v>286.66666666666669</v>
      </c>
      <c r="R14" s="83">
        <f t="shared" si="11"/>
        <v>286.66666666666669</v>
      </c>
      <c r="T14" s="83">
        <f t="shared" si="6"/>
        <v>425</v>
      </c>
      <c r="U14" s="83">
        <f t="shared" si="12"/>
        <v>425</v>
      </c>
      <c r="V14" s="83">
        <f t="shared" si="13"/>
        <v>212.5</v>
      </c>
      <c r="W14" s="83">
        <f t="shared" si="14"/>
        <v>212.5</v>
      </c>
      <c r="X14" s="85">
        <f t="shared" si="15"/>
        <v>0</v>
      </c>
      <c r="Y14" s="83">
        <f t="shared" si="16"/>
        <v>7333.333333333333</v>
      </c>
      <c r="Z14" s="83">
        <f t="shared" si="17"/>
        <v>7333.333333333333</v>
      </c>
      <c r="AA14" s="83">
        <f t="shared" si="18"/>
        <v>3666.6666666666665</v>
      </c>
      <c r="AB14" s="83">
        <f t="shared" si="19"/>
        <v>3666.6666666666665</v>
      </c>
    </row>
    <row r="15" spans="1:28" x14ac:dyDescent="0.3">
      <c r="A15" s="132">
        <v>8</v>
      </c>
      <c r="B15" s="137" t="s">
        <v>35</v>
      </c>
      <c r="C15" s="133">
        <v>15000</v>
      </c>
      <c r="D15" s="133">
        <v>5</v>
      </c>
      <c r="E15" s="133">
        <v>15</v>
      </c>
      <c r="F15" s="133">
        <v>5000</v>
      </c>
      <c r="G15" s="133">
        <f t="shared" si="2"/>
        <v>500</v>
      </c>
      <c r="H15" s="212" t="str">
        <f t="shared" si="20"/>
        <v/>
      </c>
      <c r="I15" s="178">
        <v>1</v>
      </c>
      <c r="J15" s="178">
        <v>0.5</v>
      </c>
      <c r="K15" s="233">
        <f t="shared" si="7"/>
        <v>0.5</v>
      </c>
      <c r="L15" s="216">
        <f t="shared" si="8"/>
        <v>0</v>
      </c>
      <c r="M15" s="83">
        <f t="shared" si="3"/>
        <v>666.66666666666663</v>
      </c>
      <c r="N15" s="83">
        <f t="shared" si="4"/>
        <v>400</v>
      </c>
      <c r="O15" s="83">
        <f t="shared" si="5"/>
        <v>1066.6666666666665</v>
      </c>
      <c r="P15" s="83">
        <f t="shared" si="9"/>
        <v>1066.6666666666665</v>
      </c>
      <c r="Q15" s="83">
        <f t="shared" si="10"/>
        <v>533.33333333333326</v>
      </c>
      <c r="R15" s="83">
        <f t="shared" si="11"/>
        <v>533.33333333333326</v>
      </c>
      <c r="T15" s="83">
        <f t="shared" si="6"/>
        <v>500</v>
      </c>
      <c r="U15" s="83">
        <f t="shared" si="12"/>
        <v>500</v>
      </c>
      <c r="V15" s="83">
        <f t="shared" si="13"/>
        <v>250</v>
      </c>
      <c r="W15" s="83">
        <f t="shared" si="14"/>
        <v>250</v>
      </c>
      <c r="X15" s="85">
        <f t="shared" si="15"/>
        <v>0</v>
      </c>
      <c r="Y15" s="83">
        <f t="shared" si="16"/>
        <v>11666.666666666668</v>
      </c>
      <c r="Z15" s="83">
        <f t="shared" si="17"/>
        <v>11666.666666666668</v>
      </c>
      <c r="AA15" s="83">
        <f t="shared" si="18"/>
        <v>5833.3333333333339</v>
      </c>
      <c r="AB15" s="83">
        <f t="shared" si="19"/>
        <v>5833.3333333333339</v>
      </c>
    </row>
    <row r="16" spans="1:28" x14ac:dyDescent="0.3">
      <c r="A16" s="132">
        <v>9</v>
      </c>
      <c r="B16" s="137" t="s">
        <v>38</v>
      </c>
      <c r="C16" s="133">
        <v>8000</v>
      </c>
      <c r="D16" s="133">
        <v>5</v>
      </c>
      <c r="E16" s="133">
        <v>10</v>
      </c>
      <c r="F16" s="133">
        <v>5000</v>
      </c>
      <c r="G16" s="133">
        <f t="shared" si="2"/>
        <v>325</v>
      </c>
      <c r="H16" s="212" t="str">
        <f t="shared" si="20"/>
        <v/>
      </c>
      <c r="I16" s="178">
        <v>1</v>
      </c>
      <c r="J16" s="178">
        <v>0.5</v>
      </c>
      <c r="K16" s="233">
        <f t="shared" si="7"/>
        <v>0.5</v>
      </c>
      <c r="L16" s="216">
        <f t="shared" si="8"/>
        <v>0</v>
      </c>
      <c r="M16" s="83">
        <f t="shared" si="3"/>
        <v>300</v>
      </c>
      <c r="N16" s="83">
        <f t="shared" si="4"/>
        <v>260</v>
      </c>
      <c r="O16" s="83">
        <f t="shared" si="5"/>
        <v>560</v>
      </c>
      <c r="P16" s="83">
        <f t="shared" si="9"/>
        <v>560</v>
      </c>
      <c r="Q16" s="83">
        <f t="shared" si="10"/>
        <v>280</v>
      </c>
      <c r="R16" s="83">
        <f t="shared" si="11"/>
        <v>280</v>
      </c>
      <c r="T16" s="83">
        <f t="shared" si="6"/>
        <v>325</v>
      </c>
      <c r="U16" s="83">
        <f t="shared" si="12"/>
        <v>325</v>
      </c>
      <c r="V16" s="83">
        <f t="shared" si="13"/>
        <v>162.5</v>
      </c>
      <c r="W16" s="83">
        <f t="shared" si="14"/>
        <v>162.5</v>
      </c>
      <c r="X16" s="85">
        <f t="shared" si="15"/>
        <v>0</v>
      </c>
      <c r="Y16" s="83">
        <f t="shared" si="16"/>
        <v>6500</v>
      </c>
      <c r="Z16" s="83">
        <f t="shared" si="17"/>
        <v>6500</v>
      </c>
      <c r="AA16" s="83">
        <f t="shared" si="18"/>
        <v>3250</v>
      </c>
      <c r="AB16" s="83">
        <f t="shared" si="19"/>
        <v>3250</v>
      </c>
    </row>
    <row r="17" spans="1:28" x14ac:dyDescent="0.3">
      <c r="A17" s="132">
        <v>10</v>
      </c>
      <c r="B17" s="137" t="s">
        <v>36</v>
      </c>
      <c r="C17" s="133">
        <v>1500</v>
      </c>
      <c r="D17" s="133">
        <v>1</v>
      </c>
      <c r="E17" s="133">
        <v>10</v>
      </c>
      <c r="F17" s="133">
        <v>200</v>
      </c>
      <c r="G17" s="133">
        <f t="shared" si="2"/>
        <v>42.5</v>
      </c>
      <c r="H17" s="212" t="str">
        <f t="shared" si="20"/>
        <v/>
      </c>
      <c r="I17" s="178">
        <v>1</v>
      </c>
      <c r="J17" s="178">
        <v>0.5</v>
      </c>
      <c r="K17" s="233">
        <f t="shared" si="7"/>
        <v>0.5</v>
      </c>
      <c r="L17" s="216">
        <f t="shared" si="8"/>
        <v>0</v>
      </c>
      <c r="M17" s="83">
        <f t="shared" si="3"/>
        <v>130</v>
      </c>
      <c r="N17" s="83">
        <f t="shared" si="4"/>
        <v>34</v>
      </c>
      <c r="O17" s="83">
        <f t="shared" si="5"/>
        <v>164</v>
      </c>
      <c r="P17" s="83">
        <f t="shared" si="9"/>
        <v>164</v>
      </c>
      <c r="Q17" s="83">
        <f t="shared" si="10"/>
        <v>82</v>
      </c>
      <c r="R17" s="83">
        <f t="shared" si="11"/>
        <v>82</v>
      </c>
      <c r="T17" s="83">
        <f t="shared" si="6"/>
        <v>42.5</v>
      </c>
      <c r="U17" s="83">
        <f t="shared" si="12"/>
        <v>42.5</v>
      </c>
      <c r="V17" s="83">
        <f t="shared" si="13"/>
        <v>21.25</v>
      </c>
      <c r="W17" s="83">
        <f t="shared" si="14"/>
        <v>21.25</v>
      </c>
      <c r="X17" s="85">
        <f t="shared" si="15"/>
        <v>0</v>
      </c>
      <c r="Y17" s="83">
        <f t="shared" si="16"/>
        <v>1370</v>
      </c>
      <c r="Z17" s="83">
        <f t="shared" si="17"/>
        <v>1370</v>
      </c>
      <c r="AA17" s="83">
        <f t="shared" si="18"/>
        <v>685</v>
      </c>
      <c r="AB17" s="83">
        <f t="shared" si="19"/>
        <v>685</v>
      </c>
    </row>
    <row r="18" spans="1:28" x14ac:dyDescent="0.3">
      <c r="A18" s="132">
        <v>11</v>
      </c>
      <c r="B18" s="137" t="s">
        <v>37</v>
      </c>
      <c r="C18" s="133">
        <v>15000</v>
      </c>
      <c r="D18" s="133">
        <v>20</v>
      </c>
      <c r="E18" s="133">
        <v>25</v>
      </c>
      <c r="F18" s="133">
        <v>3000</v>
      </c>
      <c r="G18" s="133">
        <f t="shared" si="2"/>
        <v>450</v>
      </c>
      <c r="H18" s="212" t="str">
        <f t="shared" si="20"/>
        <v/>
      </c>
      <c r="I18" s="178">
        <v>1</v>
      </c>
      <c r="J18" s="178">
        <v>0.5</v>
      </c>
      <c r="K18" s="233">
        <f t="shared" si="7"/>
        <v>0.5</v>
      </c>
      <c r="L18" s="216">
        <f t="shared" si="8"/>
        <v>0</v>
      </c>
      <c r="M18" s="83">
        <f t="shared" si="3"/>
        <v>480</v>
      </c>
      <c r="N18" s="83">
        <f t="shared" si="4"/>
        <v>360</v>
      </c>
      <c r="O18" s="83">
        <f t="shared" si="5"/>
        <v>840</v>
      </c>
      <c r="P18" s="83">
        <f t="shared" si="9"/>
        <v>840</v>
      </c>
      <c r="Q18" s="83">
        <f t="shared" si="10"/>
        <v>420</v>
      </c>
      <c r="R18" s="83">
        <f t="shared" si="11"/>
        <v>420</v>
      </c>
      <c r="T18" s="83">
        <f t="shared" si="6"/>
        <v>450</v>
      </c>
      <c r="U18" s="83">
        <f t="shared" si="12"/>
        <v>450</v>
      </c>
      <c r="V18" s="83">
        <f t="shared" si="13"/>
        <v>225</v>
      </c>
      <c r="W18" s="83">
        <f t="shared" si="14"/>
        <v>225</v>
      </c>
      <c r="X18" s="85">
        <f t="shared" si="15"/>
        <v>0</v>
      </c>
      <c r="Y18" s="83">
        <f t="shared" si="16"/>
        <v>5400</v>
      </c>
      <c r="Z18" s="83">
        <f t="shared" si="17"/>
        <v>5400</v>
      </c>
      <c r="AA18" s="83">
        <f t="shared" si="18"/>
        <v>2700</v>
      </c>
      <c r="AB18" s="83">
        <f t="shared" si="19"/>
        <v>2700</v>
      </c>
    </row>
    <row r="19" spans="1:28" x14ac:dyDescent="0.3">
      <c r="A19" s="132">
        <v>12</v>
      </c>
      <c r="B19" s="137" t="s">
        <v>330</v>
      </c>
      <c r="C19" s="133">
        <v>10000</v>
      </c>
      <c r="D19" s="133">
        <v>8</v>
      </c>
      <c r="E19" s="133">
        <v>30</v>
      </c>
      <c r="F19" s="133">
        <v>3000</v>
      </c>
      <c r="G19" s="133">
        <f t="shared" si="2"/>
        <v>325</v>
      </c>
      <c r="H19" s="212" t="str">
        <f t="shared" si="20"/>
        <v/>
      </c>
      <c r="I19" s="178">
        <v>1</v>
      </c>
      <c r="J19" s="178">
        <v>0.5</v>
      </c>
      <c r="K19" s="233">
        <f t="shared" si="7"/>
        <v>0.5</v>
      </c>
      <c r="L19" s="216">
        <f t="shared" si="8"/>
        <v>0</v>
      </c>
      <c r="M19" s="83">
        <f t="shared" si="3"/>
        <v>233.33333333333334</v>
      </c>
      <c r="N19" s="83">
        <f t="shared" si="4"/>
        <v>260</v>
      </c>
      <c r="O19" s="83">
        <f t="shared" si="5"/>
        <v>493.33333333333337</v>
      </c>
      <c r="P19" s="83">
        <f t="shared" si="9"/>
        <v>493.33333333333337</v>
      </c>
      <c r="Q19" s="83">
        <f t="shared" si="10"/>
        <v>246.66666666666669</v>
      </c>
      <c r="R19" s="83">
        <f t="shared" si="11"/>
        <v>246.66666666666669</v>
      </c>
      <c r="T19" s="83">
        <f t="shared" si="6"/>
        <v>325</v>
      </c>
      <c r="U19" s="83">
        <f t="shared" si="12"/>
        <v>325</v>
      </c>
      <c r="V19" s="83">
        <f t="shared" si="13"/>
        <v>162.5</v>
      </c>
      <c r="W19" s="83">
        <f t="shared" si="14"/>
        <v>162.5</v>
      </c>
      <c r="X19" s="85">
        <f t="shared" si="15"/>
        <v>0</v>
      </c>
      <c r="Y19" s="83">
        <f t="shared" si="16"/>
        <v>8133.333333333333</v>
      </c>
      <c r="Z19" s="83">
        <f t="shared" si="17"/>
        <v>8133.333333333333</v>
      </c>
      <c r="AA19" s="83">
        <f t="shared" si="18"/>
        <v>4066.6666666666665</v>
      </c>
      <c r="AB19" s="83">
        <f t="shared" si="19"/>
        <v>4066.6666666666665</v>
      </c>
    </row>
    <row r="20" spans="1:28" x14ac:dyDescent="0.3">
      <c r="A20" s="132">
        <v>13</v>
      </c>
      <c r="B20" s="137" t="s">
        <v>328</v>
      </c>
      <c r="C20" s="133">
        <v>10000</v>
      </c>
      <c r="D20" s="133">
        <v>6</v>
      </c>
      <c r="E20" s="133">
        <v>30</v>
      </c>
      <c r="F20" s="133">
        <v>3000</v>
      </c>
      <c r="G20" s="133">
        <f t="shared" si="2"/>
        <v>325</v>
      </c>
      <c r="H20" s="212" t="str">
        <f t="shared" si="20"/>
        <v/>
      </c>
      <c r="I20" s="178">
        <v>1</v>
      </c>
      <c r="J20" s="178">
        <v>0.5</v>
      </c>
      <c r="K20" s="233">
        <f t="shared" si="7"/>
        <v>0.5</v>
      </c>
      <c r="L20" s="216">
        <f t="shared" si="8"/>
        <v>0</v>
      </c>
      <c r="M20" s="83">
        <f t="shared" si="3"/>
        <v>233.33333333333334</v>
      </c>
      <c r="N20" s="83">
        <f t="shared" si="4"/>
        <v>260</v>
      </c>
      <c r="O20" s="83">
        <f t="shared" si="5"/>
        <v>493.33333333333337</v>
      </c>
      <c r="P20" s="83">
        <f t="shared" si="9"/>
        <v>493.33333333333337</v>
      </c>
      <c r="Q20" s="83">
        <f t="shared" si="10"/>
        <v>246.66666666666669</v>
      </c>
      <c r="R20" s="83">
        <f t="shared" si="11"/>
        <v>246.66666666666669</v>
      </c>
      <c r="T20" s="83">
        <f t="shared" si="6"/>
        <v>325</v>
      </c>
      <c r="U20" s="83">
        <f t="shared" si="12"/>
        <v>325</v>
      </c>
      <c r="V20" s="83">
        <f t="shared" si="13"/>
        <v>162.5</v>
      </c>
      <c r="W20" s="83">
        <f t="shared" si="14"/>
        <v>162.5</v>
      </c>
      <c r="X20" s="85">
        <f t="shared" si="15"/>
        <v>0</v>
      </c>
      <c r="Y20" s="83">
        <f t="shared" si="16"/>
        <v>8600</v>
      </c>
      <c r="Z20" s="83">
        <f t="shared" si="17"/>
        <v>8600</v>
      </c>
      <c r="AA20" s="83">
        <f t="shared" si="18"/>
        <v>4300</v>
      </c>
      <c r="AB20" s="83">
        <f t="shared" si="19"/>
        <v>4300</v>
      </c>
    </row>
    <row r="21" spans="1:28" x14ac:dyDescent="0.3">
      <c r="A21" s="132">
        <v>14</v>
      </c>
      <c r="B21" s="137" t="s">
        <v>329</v>
      </c>
      <c r="C21" s="133">
        <v>10000</v>
      </c>
      <c r="D21" s="133">
        <v>7</v>
      </c>
      <c r="E21" s="133">
        <v>30</v>
      </c>
      <c r="F21" s="133">
        <v>3000</v>
      </c>
      <c r="G21" s="133">
        <f t="shared" si="2"/>
        <v>325</v>
      </c>
      <c r="H21" s="212" t="str">
        <f t="shared" si="20"/>
        <v/>
      </c>
      <c r="I21" s="178">
        <v>1</v>
      </c>
      <c r="J21" s="178">
        <v>0.5</v>
      </c>
      <c r="K21" s="233">
        <f t="shared" si="7"/>
        <v>0.5</v>
      </c>
      <c r="L21" s="216">
        <f t="shared" si="8"/>
        <v>0</v>
      </c>
      <c r="M21" s="83">
        <f t="shared" si="3"/>
        <v>233.33333333333334</v>
      </c>
      <c r="N21" s="83">
        <f t="shared" si="4"/>
        <v>260</v>
      </c>
      <c r="O21" s="83">
        <f t="shared" si="5"/>
        <v>493.33333333333337</v>
      </c>
      <c r="P21" s="83">
        <f t="shared" si="9"/>
        <v>493.33333333333337</v>
      </c>
      <c r="Q21" s="83">
        <f t="shared" si="10"/>
        <v>246.66666666666669</v>
      </c>
      <c r="R21" s="83">
        <f t="shared" si="11"/>
        <v>246.66666666666669</v>
      </c>
      <c r="T21" s="83">
        <f t="shared" si="6"/>
        <v>325</v>
      </c>
      <c r="U21" s="83">
        <f t="shared" si="12"/>
        <v>325</v>
      </c>
      <c r="V21" s="83">
        <f t="shared" si="13"/>
        <v>162.5</v>
      </c>
      <c r="W21" s="83">
        <f t="shared" si="14"/>
        <v>162.5</v>
      </c>
      <c r="X21" s="85">
        <f t="shared" si="15"/>
        <v>0</v>
      </c>
      <c r="Y21" s="83">
        <f t="shared" si="16"/>
        <v>8366.6666666666661</v>
      </c>
      <c r="Z21" s="83">
        <f t="shared" si="17"/>
        <v>8366.6666666666661</v>
      </c>
      <c r="AA21" s="83">
        <f t="shared" si="18"/>
        <v>4183.333333333333</v>
      </c>
      <c r="AB21" s="83">
        <f t="shared" si="19"/>
        <v>4183.333333333333</v>
      </c>
    </row>
    <row r="22" spans="1:28" x14ac:dyDescent="0.3">
      <c r="A22" s="132">
        <v>15</v>
      </c>
      <c r="B22" s="137" t="s">
        <v>75</v>
      </c>
      <c r="C22" s="133">
        <v>45000</v>
      </c>
      <c r="D22" s="133">
        <v>9</v>
      </c>
      <c r="E22" s="133">
        <v>10</v>
      </c>
      <c r="F22" s="133">
        <v>10000</v>
      </c>
      <c r="G22" s="133">
        <f t="shared" si="2"/>
        <v>1375</v>
      </c>
      <c r="H22" s="212" t="str">
        <f t="shared" si="20"/>
        <v/>
      </c>
      <c r="I22" s="178">
        <v>1</v>
      </c>
      <c r="J22" s="178">
        <v>0.5</v>
      </c>
      <c r="K22" s="233">
        <f t="shared" si="7"/>
        <v>0.5</v>
      </c>
      <c r="L22" s="216">
        <f t="shared" si="8"/>
        <v>0</v>
      </c>
      <c r="M22" s="83">
        <f t="shared" si="3"/>
        <v>3500</v>
      </c>
      <c r="N22" s="83">
        <f t="shared" si="4"/>
        <v>1100</v>
      </c>
      <c r="O22" s="83">
        <f t="shared" si="5"/>
        <v>4600</v>
      </c>
      <c r="P22" s="83">
        <f t="shared" si="9"/>
        <v>4600</v>
      </c>
      <c r="Q22" s="83">
        <f t="shared" si="10"/>
        <v>2300</v>
      </c>
      <c r="R22" s="83">
        <f t="shared" si="11"/>
        <v>2300</v>
      </c>
      <c r="T22" s="83">
        <f t="shared" si="6"/>
        <v>1375</v>
      </c>
      <c r="U22" s="83">
        <f t="shared" si="12"/>
        <v>1375</v>
      </c>
      <c r="V22" s="83">
        <f t="shared" si="13"/>
        <v>687.5</v>
      </c>
      <c r="W22" s="83">
        <f t="shared" si="14"/>
        <v>687.5</v>
      </c>
      <c r="X22" s="85">
        <f t="shared" si="15"/>
        <v>0</v>
      </c>
      <c r="Y22" s="83">
        <f t="shared" si="16"/>
        <v>13500</v>
      </c>
      <c r="Z22" s="83">
        <f t="shared" si="17"/>
        <v>13500</v>
      </c>
      <c r="AA22" s="83">
        <f t="shared" si="18"/>
        <v>6750</v>
      </c>
      <c r="AB22" s="83">
        <f t="shared" si="19"/>
        <v>6750</v>
      </c>
    </row>
    <row r="23" spans="1:28" x14ac:dyDescent="0.3">
      <c r="A23" s="132">
        <v>16</v>
      </c>
      <c r="B23" s="137" t="s">
        <v>76</v>
      </c>
      <c r="C23" s="133">
        <v>15000</v>
      </c>
      <c r="D23" s="133">
        <v>9</v>
      </c>
      <c r="E23" s="133">
        <v>15</v>
      </c>
      <c r="F23" s="133">
        <v>3000</v>
      </c>
      <c r="G23" s="133">
        <f t="shared" si="2"/>
        <v>450</v>
      </c>
      <c r="H23" s="212" t="str">
        <f t="shared" si="20"/>
        <v/>
      </c>
      <c r="I23" s="178">
        <v>1</v>
      </c>
      <c r="J23" s="178">
        <v>0.5</v>
      </c>
      <c r="K23" s="233">
        <f t="shared" si="7"/>
        <v>0.5</v>
      </c>
      <c r="L23" s="216">
        <f t="shared" si="8"/>
        <v>0</v>
      </c>
      <c r="M23" s="83">
        <f t="shared" si="3"/>
        <v>800</v>
      </c>
      <c r="N23" s="83">
        <f t="shared" si="4"/>
        <v>360</v>
      </c>
      <c r="O23" s="83">
        <f t="shared" si="5"/>
        <v>1160</v>
      </c>
      <c r="P23" s="83">
        <f t="shared" si="9"/>
        <v>1160</v>
      </c>
      <c r="Q23" s="83">
        <f t="shared" si="10"/>
        <v>580</v>
      </c>
      <c r="R23" s="83">
        <f t="shared" si="11"/>
        <v>580</v>
      </c>
      <c r="T23" s="83">
        <f t="shared" si="6"/>
        <v>450</v>
      </c>
      <c r="U23" s="83">
        <f t="shared" si="12"/>
        <v>450</v>
      </c>
      <c r="V23" s="83">
        <f t="shared" si="13"/>
        <v>225</v>
      </c>
      <c r="W23" s="83">
        <f t="shared" si="14"/>
        <v>225</v>
      </c>
      <c r="X23" s="85">
        <f t="shared" si="15"/>
        <v>0</v>
      </c>
      <c r="Y23" s="83">
        <f t="shared" si="16"/>
        <v>7800</v>
      </c>
      <c r="Z23" s="83">
        <f t="shared" si="17"/>
        <v>7800</v>
      </c>
      <c r="AA23" s="83">
        <f t="shared" si="18"/>
        <v>3900</v>
      </c>
      <c r="AB23" s="83">
        <f t="shared" si="19"/>
        <v>3900</v>
      </c>
    </row>
    <row r="24" spans="1:28" x14ac:dyDescent="0.3">
      <c r="A24" s="132">
        <v>17</v>
      </c>
      <c r="B24" s="137" t="s">
        <v>331</v>
      </c>
      <c r="C24" s="133">
        <v>4000</v>
      </c>
      <c r="D24" s="133">
        <v>5</v>
      </c>
      <c r="E24" s="133">
        <v>20</v>
      </c>
      <c r="F24" s="133">
        <v>1000</v>
      </c>
      <c r="G24" s="133">
        <f t="shared" si="2"/>
        <v>125</v>
      </c>
      <c r="H24" s="212" t="str">
        <f t="shared" si="20"/>
        <v/>
      </c>
      <c r="I24" s="178">
        <v>1</v>
      </c>
      <c r="J24" s="178">
        <v>0.5</v>
      </c>
      <c r="K24" s="233">
        <f t="shared" si="7"/>
        <v>0.5</v>
      </c>
      <c r="L24" s="216">
        <f t="shared" si="8"/>
        <v>0</v>
      </c>
      <c r="M24" s="83">
        <f t="shared" si="3"/>
        <v>150</v>
      </c>
      <c r="N24" s="83">
        <f t="shared" si="4"/>
        <v>100</v>
      </c>
      <c r="O24" s="83">
        <f t="shared" si="5"/>
        <v>250</v>
      </c>
      <c r="P24" s="83">
        <f t="shared" si="9"/>
        <v>250</v>
      </c>
      <c r="Q24" s="83">
        <f t="shared" si="10"/>
        <v>125</v>
      </c>
      <c r="R24" s="83">
        <f t="shared" si="11"/>
        <v>125</v>
      </c>
      <c r="T24" s="83">
        <f t="shared" si="6"/>
        <v>125</v>
      </c>
      <c r="U24" s="83">
        <f t="shared" si="12"/>
        <v>125</v>
      </c>
      <c r="V24" s="83">
        <f t="shared" si="13"/>
        <v>62.5</v>
      </c>
      <c r="W24" s="83">
        <f t="shared" si="14"/>
        <v>62.5</v>
      </c>
      <c r="X24" s="85">
        <f t="shared" si="15"/>
        <v>0</v>
      </c>
      <c r="Y24" s="83">
        <f t="shared" si="16"/>
        <v>3250</v>
      </c>
      <c r="Z24" s="83">
        <f t="shared" si="17"/>
        <v>3250</v>
      </c>
      <c r="AA24" s="83">
        <f t="shared" si="18"/>
        <v>1625</v>
      </c>
      <c r="AB24" s="83">
        <f t="shared" si="19"/>
        <v>1625</v>
      </c>
    </row>
    <row r="25" spans="1:28" x14ac:dyDescent="0.3">
      <c r="A25" s="132">
        <v>18</v>
      </c>
      <c r="B25" s="137" t="s">
        <v>332</v>
      </c>
      <c r="C25" s="133">
        <v>5000</v>
      </c>
      <c r="D25" s="133">
        <v>10</v>
      </c>
      <c r="E25" s="133">
        <v>30</v>
      </c>
      <c r="F25" s="133">
        <v>1000</v>
      </c>
      <c r="G25" s="133">
        <f>(C25+F25)/2*$G$6</f>
        <v>150</v>
      </c>
      <c r="H25" s="212" t="str">
        <f t="shared" si="20"/>
        <v/>
      </c>
      <c r="I25" s="178">
        <v>1</v>
      </c>
      <c r="J25" s="178">
        <v>0.5</v>
      </c>
      <c r="K25" s="233">
        <f t="shared" si="7"/>
        <v>0.5</v>
      </c>
      <c r="L25" s="216">
        <f t="shared" si="8"/>
        <v>0</v>
      </c>
      <c r="M25" s="83">
        <f t="shared" si="3"/>
        <v>133.33333333333334</v>
      </c>
      <c r="N25" s="83">
        <f t="shared" si="4"/>
        <v>120</v>
      </c>
      <c r="O25" s="83">
        <f t="shared" si="5"/>
        <v>253.33333333333334</v>
      </c>
      <c r="P25" s="83">
        <f t="shared" si="9"/>
        <v>253.33333333333334</v>
      </c>
      <c r="Q25" s="83">
        <f t="shared" si="10"/>
        <v>126.66666666666667</v>
      </c>
      <c r="R25" s="83">
        <f t="shared" si="11"/>
        <v>126.66666666666667</v>
      </c>
      <c r="T25" s="83">
        <f t="shared" si="6"/>
        <v>150</v>
      </c>
      <c r="U25" s="83">
        <f t="shared" si="12"/>
        <v>150</v>
      </c>
      <c r="V25" s="83">
        <f t="shared" si="13"/>
        <v>75</v>
      </c>
      <c r="W25" s="83">
        <f t="shared" si="14"/>
        <v>75</v>
      </c>
      <c r="X25" s="85">
        <f t="shared" si="15"/>
        <v>0</v>
      </c>
      <c r="Y25" s="83">
        <f t="shared" si="16"/>
        <v>3666.6666666666665</v>
      </c>
      <c r="Z25" s="83">
        <f t="shared" si="17"/>
        <v>3666.6666666666665</v>
      </c>
      <c r="AA25" s="83">
        <f t="shared" si="18"/>
        <v>1833.3333333333333</v>
      </c>
      <c r="AB25" s="83">
        <f t="shared" si="19"/>
        <v>1833.3333333333333</v>
      </c>
    </row>
    <row r="26" spans="1:28" x14ac:dyDescent="0.3">
      <c r="A26" s="132">
        <v>19</v>
      </c>
      <c r="B26" s="137" t="s">
        <v>333</v>
      </c>
      <c r="C26" s="133">
        <v>50000</v>
      </c>
      <c r="D26" s="133">
        <v>1</v>
      </c>
      <c r="E26" s="133">
        <v>20</v>
      </c>
      <c r="F26" s="133">
        <v>10000</v>
      </c>
      <c r="G26" s="133">
        <f t="shared" si="2"/>
        <v>1500</v>
      </c>
      <c r="H26" s="212" t="str">
        <f t="shared" si="20"/>
        <v/>
      </c>
      <c r="I26" s="178">
        <v>1</v>
      </c>
      <c r="J26" s="178">
        <v>0.5</v>
      </c>
      <c r="K26" s="233">
        <f t="shared" si="7"/>
        <v>0.5</v>
      </c>
      <c r="L26" s="216">
        <f t="shared" si="8"/>
        <v>0</v>
      </c>
      <c r="M26" s="83">
        <f t="shared" si="3"/>
        <v>2000</v>
      </c>
      <c r="N26" s="83">
        <f t="shared" si="4"/>
        <v>1200</v>
      </c>
      <c r="O26" s="83">
        <f t="shared" si="5"/>
        <v>3200</v>
      </c>
      <c r="P26" s="83">
        <f t="shared" si="9"/>
        <v>3200</v>
      </c>
      <c r="Q26" s="83">
        <f t="shared" si="10"/>
        <v>1600</v>
      </c>
      <c r="R26" s="83">
        <f t="shared" si="11"/>
        <v>1600</v>
      </c>
      <c r="T26" s="83">
        <f t="shared" si="6"/>
        <v>1500</v>
      </c>
      <c r="U26" s="83">
        <f t="shared" si="12"/>
        <v>1500</v>
      </c>
      <c r="V26" s="83">
        <f t="shared" si="13"/>
        <v>750</v>
      </c>
      <c r="W26" s="83">
        <f t="shared" si="14"/>
        <v>750</v>
      </c>
      <c r="X26" s="85">
        <f t="shared" si="15"/>
        <v>0</v>
      </c>
      <c r="Y26" s="83">
        <f t="shared" si="16"/>
        <v>48000</v>
      </c>
      <c r="Z26" s="83">
        <f t="shared" si="17"/>
        <v>48000</v>
      </c>
      <c r="AA26" s="83">
        <f t="shared" si="18"/>
        <v>24000</v>
      </c>
      <c r="AB26" s="83">
        <f t="shared" si="19"/>
        <v>24000</v>
      </c>
    </row>
    <row r="27" spans="1:28" x14ac:dyDescent="0.3">
      <c r="A27" s="132">
        <v>20</v>
      </c>
      <c r="B27" s="137" t="s">
        <v>336</v>
      </c>
      <c r="C27" s="133"/>
      <c r="D27" s="133"/>
      <c r="E27" s="133">
        <v>1</v>
      </c>
      <c r="F27" s="133"/>
      <c r="G27" s="133">
        <f t="shared" si="2"/>
        <v>0</v>
      </c>
      <c r="H27" s="212" t="str">
        <f t="shared" si="20"/>
        <v/>
      </c>
      <c r="I27" s="178">
        <v>1</v>
      </c>
      <c r="J27" s="178">
        <v>0.5</v>
      </c>
      <c r="K27" s="233">
        <f t="shared" si="7"/>
        <v>0.5</v>
      </c>
      <c r="L27" s="216">
        <f t="shared" si="8"/>
        <v>0</v>
      </c>
      <c r="M27" s="83">
        <f t="shared" si="3"/>
        <v>0</v>
      </c>
      <c r="N27" s="83">
        <f t="shared" si="4"/>
        <v>0</v>
      </c>
      <c r="O27" s="83">
        <f t="shared" si="5"/>
        <v>0</v>
      </c>
      <c r="P27" s="83">
        <f t="shared" si="9"/>
        <v>0</v>
      </c>
      <c r="Q27" s="83">
        <f t="shared" si="10"/>
        <v>0</v>
      </c>
      <c r="R27" s="83">
        <f t="shared" si="11"/>
        <v>0</v>
      </c>
      <c r="T27" s="83">
        <f t="shared" si="6"/>
        <v>0</v>
      </c>
      <c r="U27" s="83">
        <f t="shared" si="12"/>
        <v>0</v>
      </c>
      <c r="V27" s="83">
        <f t="shared" si="13"/>
        <v>0</v>
      </c>
      <c r="W27" s="83">
        <f t="shared" si="14"/>
        <v>0</v>
      </c>
      <c r="X27" s="85">
        <f t="shared" si="15"/>
        <v>0</v>
      </c>
      <c r="Y27" s="83">
        <f t="shared" si="16"/>
        <v>0</v>
      </c>
      <c r="Z27" s="83">
        <f t="shared" si="17"/>
        <v>0</v>
      </c>
      <c r="AA27" s="83">
        <f t="shared" si="18"/>
        <v>0</v>
      </c>
      <c r="AB27" s="83">
        <f t="shared" si="19"/>
        <v>0</v>
      </c>
    </row>
    <row r="28" spans="1:28" x14ac:dyDescent="0.3">
      <c r="A28" s="132">
        <v>21</v>
      </c>
      <c r="B28" s="137" t="s">
        <v>335</v>
      </c>
      <c r="C28" s="133"/>
      <c r="D28" s="133"/>
      <c r="E28" s="133">
        <v>1</v>
      </c>
      <c r="F28" s="133"/>
      <c r="G28" s="133">
        <f t="shared" si="2"/>
        <v>0</v>
      </c>
      <c r="H28" s="212" t="str">
        <f t="shared" si="20"/>
        <v/>
      </c>
      <c r="I28" s="178">
        <v>1</v>
      </c>
      <c r="J28" s="178">
        <v>0.5</v>
      </c>
      <c r="K28" s="233">
        <f t="shared" si="7"/>
        <v>0.5</v>
      </c>
      <c r="L28" s="216">
        <f t="shared" si="8"/>
        <v>0</v>
      </c>
      <c r="M28" s="83">
        <f t="shared" si="3"/>
        <v>0</v>
      </c>
      <c r="N28" s="83">
        <f t="shared" si="4"/>
        <v>0</v>
      </c>
      <c r="O28" s="83">
        <f t="shared" si="5"/>
        <v>0</v>
      </c>
      <c r="P28" s="83">
        <f t="shared" si="9"/>
        <v>0</v>
      </c>
      <c r="Q28" s="83">
        <f t="shared" si="10"/>
        <v>0</v>
      </c>
      <c r="R28" s="83">
        <f t="shared" si="11"/>
        <v>0</v>
      </c>
      <c r="T28" s="83">
        <f t="shared" si="6"/>
        <v>0</v>
      </c>
      <c r="U28" s="83">
        <f t="shared" si="12"/>
        <v>0</v>
      </c>
      <c r="V28" s="83">
        <f t="shared" si="13"/>
        <v>0</v>
      </c>
      <c r="W28" s="83">
        <f t="shared" si="14"/>
        <v>0</v>
      </c>
      <c r="X28" s="85">
        <f t="shared" si="15"/>
        <v>0</v>
      </c>
      <c r="Y28" s="83">
        <f t="shared" si="16"/>
        <v>0</v>
      </c>
      <c r="Z28" s="83">
        <f t="shared" si="17"/>
        <v>0</v>
      </c>
      <c r="AA28" s="83">
        <f t="shared" si="18"/>
        <v>0</v>
      </c>
      <c r="AB28" s="83">
        <f t="shared" si="19"/>
        <v>0</v>
      </c>
    </row>
    <row r="29" spans="1:28" x14ac:dyDescent="0.3">
      <c r="A29" s="132">
        <v>22</v>
      </c>
      <c r="B29" s="137" t="s">
        <v>334</v>
      </c>
      <c r="C29" s="133"/>
      <c r="D29" s="133"/>
      <c r="E29" s="133">
        <v>1</v>
      </c>
      <c r="F29" s="133"/>
      <c r="G29" s="133">
        <f t="shared" si="2"/>
        <v>0</v>
      </c>
      <c r="H29" s="212" t="str">
        <f t="shared" si="20"/>
        <v/>
      </c>
      <c r="I29" s="178">
        <v>1</v>
      </c>
      <c r="J29" s="178">
        <v>0.5</v>
      </c>
      <c r="K29" s="233">
        <f t="shared" si="7"/>
        <v>0.5</v>
      </c>
      <c r="L29" s="216">
        <f t="shared" si="8"/>
        <v>0</v>
      </c>
      <c r="M29" s="83">
        <f t="shared" si="3"/>
        <v>0</v>
      </c>
      <c r="N29" s="83">
        <f t="shared" si="4"/>
        <v>0</v>
      </c>
      <c r="O29" s="83">
        <f t="shared" si="5"/>
        <v>0</v>
      </c>
      <c r="P29" s="83">
        <f t="shared" si="9"/>
        <v>0</v>
      </c>
      <c r="Q29" s="83">
        <f t="shared" si="10"/>
        <v>0</v>
      </c>
      <c r="R29" s="83">
        <f t="shared" si="11"/>
        <v>0</v>
      </c>
      <c r="T29" s="83">
        <f t="shared" si="6"/>
        <v>0</v>
      </c>
      <c r="U29" s="83">
        <f t="shared" si="12"/>
        <v>0</v>
      </c>
      <c r="V29" s="83">
        <f t="shared" si="13"/>
        <v>0</v>
      </c>
      <c r="W29" s="83">
        <f t="shared" si="14"/>
        <v>0</v>
      </c>
      <c r="X29" s="85">
        <f t="shared" si="15"/>
        <v>0</v>
      </c>
      <c r="Y29" s="83">
        <f t="shared" si="16"/>
        <v>0</v>
      </c>
      <c r="Z29" s="83">
        <f t="shared" si="17"/>
        <v>0</v>
      </c>
      <c r="AA29" s="83">
        <f t="shared" si="18"/>
        <v>0</v>
      </c>
      <c r="AB29" s="83">
        <f t="shared" si="19"/>
        <v>0</v>
      </c>
    </row>
    <row r="30" spans="1:28" x14ac:dyDescent="0.3">
      <c r="A30" s="132">
        <v>23</v>
      </c>
      <c r="B30" s="137" t="s">
        <v>77</v>
      </c>
      <c r="C30" s="133"/>
      <c r="D30" s="133"/>
      <c r="E30" s="133">
        <v>1</v>
      </c>
      <c r="F30" s="133"/>
      <c r="G30" s="133">
        <f t="shared" si="2"/>
        <v>0</v>
      </c>
      <c r="H30" s="212" t="str">
        <f t="shared" si="20"/>
        <v/>
      </c>
      <c r="I30" s="178">
        <v>1</v>
      </c>
      <c r="J30" s="178">
        <v>1</v>
      </c>
      <c r="K30" s="233">
        <f t="shared" si="7"/>
        <v>0</v>
      </c>
      <c r="L30" s="216">
        <f t="shared" si="8"/>
        <v>0</v>
      </c>
      <c r="M30" s="83">
        <f t="shared" si="3"/>
        <v>0</v>
      </c>
      <c r="N30" s="83">
        <f t="shared" si="4"/>
        <v>0</v>
      </c>
      <c r="O30" s="83">
        <f t="shared" si="5"/>
        <v>0</v>
      </c>
      <c r="P30" s="83">
        <f t="shared" si="9"/>
        <v>0</v>
      </c>
      <c r="Q30" s="83">
        <f t="shared" si="10"/>
        <v>0</v>
      </c>
      <c r="R30" s="83">
        <f t="shared" si="11"/>
        <v>0</v>
      </c>
      <c r="T30" s="83">
        <f t="shared" si="6"/>
        <v>0</v>
      </c>
      <c r="U30" s="83">
        <f t="shared" si="12"/>
        <v>0</v>
      </c>
      <c r="V30" s="83">
        <f t="shared" si="13"/>
        <v>0</v>
      </c>
      <c r="W30" s="83">
        <f t="shared" si="14"/>
        <v>0</v>
      </c>
      <c r="X30" s="85">
        <f t="shared" si="15"/>
        <v>0</v>
      </c>
      <c r="Y30" s="83">
        <f t="shared" si="16"/>
        <v>0</v>
      </c>
      <c r="Z30" s="83">
        <f t="shared" si="17"/>
        <v>0</v>
      </c>
      <c r="AA30" s="83">
        <f t="shared" si="18"/>
        <v>0</v>
      </c>
      <c r="AB30" s="83">
        <f t="shared" si="19"/>
        <v>0</v>
      </c>
    </row>
    <row r="31" spans="1:28" x14ac:dyDescent="0.3">
      <c r="A31" s="132">
        <v>24</v>
      </c>
      <c r="B31" s="137" t="s">
        <v>77</v>
      </c>
      <c r="C31" s="133"/>
      <c r="D31" s="133"/>
      <c r="E31" s="133">
        <v>1</v>
      </c>
      <c r="F31" s="133"/>
      <c r="G31" s="133">
        <f t="shared" si="2"/>
        <v>0</v>
      </c>
      <c r="H31" s="212" t="str">
        <f t="shared" si="20"/>
        <v/>
      </c>
      <c r="I31" s="178">
        <v>1</v>
      </c>
      <c r="J31" s="178">
        <v>1</v>
      </c>
      <c r="K31" s="233">
        <f t="shared" si="7"/>
        <v>0</v>
      </c>
      <c r="L31" s="216">
        <f t="shared" si="8"/>
        <v>0</v>
      </c>
      <c r="M31" s="83">
        <f t="shared" si="3"/>
        <v>0</v>
      </c>
      <c r="N31" s="83">
        <f t="shared" si="4"/>
        <v>0</v>
      </c>
      <c r="O31" s="83">
        <f t="shared" si="5"/>
        <v>0</v>
      </c>
      <c r="P31" s="83">
        <f t="shared" si="9"/>
        <v>0</v>
      </c>
      <c r="Q31" s="83">
        <f t="shared" si="10"/>
        <v>0</v>
      </c>
      <c r="R31" s="83">
        <f t="shared" si="11"/>
        <v>0</v>
      </c>
      <c r="T31" s="83">
        <f t="shared" si="6"/>
        <v>0</v>
      </c>
      <c r="U31" s="83">
        <f t="shared" si="12"/>
        <v>0</v>
      </c>
      <c r="V31" s="83">
        <f t="shared" si="13"/>
        <v>0</v>
      </c>
      <c r="W31" s="83">
        <f t="shared" si="14"/>
        <v>0</v>
      </c>
      <c r="X31" s="85">
        <f t="shared" si="15"/>
        <v>0</v>
      </c>
      <c r="Y31" s="83">
        <f t="shared" si="16"/>
        <v>0</v>
      </c>
      <c r="Z31" s="83">
        <f t="shared" si="17"/>
        <v>0</v>
      </c>
      <c r="AA31" s="83">
        <f t="shared" si="18"/>
        <v>0</v>
      </c>
      <c r="AB31" s="83">
        <f t="shared" si="19"/>
        <v>0</v>
      </c>
    </row>
    <row r="32" spans="1:28" x14ac:dyDescent="0.3">
      <c r="A32" s="132">
        <v>25</v>
      </c>
      <c r="B32" s="137" t="s">
        <v>77</v>
      </c>
      <c r="C32" s="133"/>
      <c r="D32" s="133"/>
      <c r="E32" s="133">
        <v>1</v>
      </c>
      <c r="F32" s="133"/>
      <c r="G32" s="133">
        <f t="shared" si="2"/>
        <v>0</v>
      </c>
      <c r="H32" s="212" t="str">
        <f t="shared" si="20"/>
        <v/>
      </c>
      <c r="I32" s="178">
        <v>1</v>
      </c>
      <c r="J32" s="178">
        <v>1</v>
      </c>
      <c r="K32" s="233">
        <f t="shared" si="7"/>
        <v>0</v>
      </c>
      <c r="L32" s="216">
        <f t="shared" si="8"/>
        <v>0</v>
      </c>
      <c r="M32" s="83">
        <f t="shared" si="3"/>
        <v>0</v>
      </c>
      <c r="N32" s="83">
        <f t="shared" si="4"/>
        <v>0</v>
      </c>
      <c r="O32" s="83">
        <f t="shared" si="5"/>
        <v>0</v>
      </c>
      <c r="P32" s="83">
        <f t="shared" si="9"/>
        <v>0</v>
      </c>
      <c r="Q32" s="83">
        <f t="shared" si="10"/>
        <v>0</v>
      </c>
      <c r="R32" s="83">
        <f t="shared" si="11"/>
        <v>0</v>
      </c>
      <c r="T32" s="83">
        <f t="shared" si="6"/>
        <v>0</v>
      </c>
      <c r="U32" s="83">
        <f t="shared" si="12"/>
        <v>0</v>
      </c>
      <c r="V32" s="83">
        <f t="shared" si="13"/>
        <v>0</v>
      </c>
      <c r="W32" s="83">
        <f t="shared" si="14"/>
        <v>0</v>
      </c>
      <c r="X32" s="85">
        <f t="shared" si="15"/>
        <v>0</v>
      </c>
      <c r="Y32" s="83">
        <f t="shared" si="16"/>
        <v>0</v>
      </c>
      <c r="Z32" s="83">
        <f t="shared" si="17"/>
        <v>0</v>
      </c>
      <c r="AA32" s="83">
        <f t="shared" si="18"/>
        <v>0</v>
      </c>
      <c r="AB32" s="83">
        <f t="shared" si="19"/>
        <v>0</v>
      </c>
    </row>
    <row r="33" spans="1:28" x14ac:dyDescent="0.3">
      <c r="A33" s="132">
        <v>26</v>
      </c>
      <c r="B33" s="137" t="s">
        <v>77</v>
      </c>
      <c r="C33" s="133"/>
      <c r="D33" s="133"/>
      <c r="E33" s="133">
        <v>1</v>
      </c>
      <c r="F33" s="133"/>
      <c r="G33" s="133">
        <f t="shared" si="2"/>
        <v>0</v>
      </c>
      <c r="H33" s="212" t="str">
        <f t="shared" si="20"/>
        <v/>
      </c>
      <c r="I33" s="178">
        <v>1</v>
      </c>
      <c r="J33" s="178">
        <v>1</v>
      </c>
      <c r="K33" s="233">
        <f t="shared" si="7"/>
        <v>0</v>
      </c>
      <c r="L33" s="216">
        <f t="shared" si="8"/>
        <v>0</v>
      </c>
      <c r="M33" s="83">
        <f t="shared" si="3"/>
        <v>0</v>
      </c>
      <c r="N33" s="83">
        <f t="shared" si="4"/>
        <v>0</v>
      </c>
      <c r="O33" s="83">
        <f t="shared" si="5"/>
        <v>0</v>
      </c>
      <c r="P33" s="83">
        <f t="shared" si="9"/>
        <v>0</v>
      </c>
      <c r="Q33" s="83">
        <f t="shared" si="10"/>
        <v>0</v>
      </c>
      <c r="R33" s="83">
        <f t="shared" si="11"/>
        <v>0</v>
      </c>
      <c r="T33" s="83">
        <f t="shared" si="6"/>
        <v>0</v>
      </c>
      <c r="U33" s="83">
        <f t="shared" si="12"/>
        <v>0</v>
      </c>
      <c r="V33" s="83">
        <f t="shared" si="13"/>
        <v>0</v>
      </c>
      <c r="W33" s="83">
        <f t="shared" si="14"/>
        <v>0</v>
      </c>
      <c r="X33" s="85">
        <f t="shared" si="15"/>
        <v>0</v>
      </c>
      <c r="Y33" s="83">
        <f t="shared" si="16"/>
        <v>0</v>
      </c>
      <c r="Z33" s="83">
        <f t="shared" si="17"/>
        <v>0</v>
      </c>
      <c r="AA33" s="83">
        <f t="shared" si="18"/>
        <v>0</v>
      </c>
      <c r="AB33" s="83">
        <f t="shared" si="19"/>
        <v>0</v>
      </c>
    </row>
    <row r="34" spans="1:28" x14ac:dyDescent="0.3">
      <c r="A34" s="132">
        <v>27</v>
      </c>
      <c r="B34" s="137" t="s">
        <v>77</v>
      </c>
      <c r="C34" s="137"/>
      <c r="D34" s="137"/>
      <c r="E34" s="133">
        <v>1</v>
      </c>
      <c r="F34" s="137"/>
      <c r="G34" s="133">
        <f t="shared" si="2"/>
        <v>0</v>
      </c>
      <c r="H34" s="212" t="str">
        <f t="shared" si="20"/>
        <v/>
      </c>
      <c r="I34" s="178">
        <v>1</v>
      </c>
      <c r="J34" s="178">
        <v>1</v>
      </c>
      <c r="K34" s="233">
        <f t="shared" si="7"/>
        <v>0</v>
      </c>
      <c r="L34" s="216">
        <f t="shared" si="8"/>
        <v>0</v>
      </c>
      <c r="M34" s="83">
        <f t="shared" si="3"/>
        <v>0</v>
      </c>
      <c r="N34" s="83">
        <f t="shared" si="4"/>
        <v>0</v>
      </c>
      <c r="O34" s="83">
        <f t="shared" si="5"/>
        <v>0</v>
      </c>
      <c r="P34" s="83">
        <f t="shared" si="9"/>
        <v>0</v>
      </c>
      <c r="Q34" s="83">
        <f t="shared" si="10"/>
        <v>0</v>
      </c>
      <c r="R34" s="83">
        <f t="shared" si="11"/>
        <v>0</v>
      </c>
      <c r="T34" s="83">
        <f t="shared" si="6"/>
        <v>0</v>
      </c>
      <c r="U34" s="83">
        <f t="shared" si="12"/>
        <v>0</v>
      </c>
      <c r="V34" s="83">
        <f t="shared" si="13"/>
        <v>0</v>
      </c>
      <c r="W34" s="83">
        <f t="shared" si="14"/>
        <v>0</v>
      </c>
      <c r="X34" s="85">
        <f t="shared" si="15"/>
        <v>0</v>
      </c>
      <c r="Y34" s="83">
        <f t="shared" si="16"/>
        <v>0</v>
      </c>
      <c r="Z34" s="83">
        <f t="shared" si="17"/>
        <v>0</v>
      </c>
      <c r="AA34" s="83">
        <f t="shared" si="18"/>
        <v>0</v>
      </c>
      <c r="AB34" s="83">
        <f t="shared" si="19"/>
        <v>0</v>
      </c>
    </row>
    <row r="35" spans="1:28" x14ac:dyDescent="0.3">
      <c r="A35" s="132">
        <v>28</v>
      </c>
      <c r="B35" s="137" t="s">
        <v>77</v>
      </c>
      <c r="C35" s="132"/>
      <c r="D35" s="132"/>
      <c r="E35" s="133">
        <v>1</v>
      </c>
      <c r="F35" s="132"/>
      <c r="G35" s="133">
        <f t="shared" si="2"/>
        <v>0</v>
      </c>
      <c r="H35" s="212" t="str">
        <f t="shared" si="20"/>
        <v/>
      </c>
      <c r="I35" s="178">
        <v>1</v>
      </c>
      <c r="J35" s="178">
        <v>1</v>
      </c>
      <c r="K35" s="233">
        <f t="shared" si="7"/>
        <v>0</v>
      </c>
      <c r="L35" s="216">
        <f t="shared" si="8"/>
        <v>0</v>
      </c>
      <c r="M35" s="83">
        <f t="shared" si="3"/>
        <v>0</v>
      </c>
      <c r="N35" s="83">
        <f t="shared" si="4"/>
        <v>0</v>
      </c>
      <c r="O35" s="83">
        <f t="shared" si="5"/>
        <v>0</v>
      </c>
      <c r="P35" s="83">
        <f t="shared" si="9"/>
        <v>0</v>
      </c>
      <c r="Q35" s="83">
        <f t="shared" si="10"/>
        <v>0</v>
      </c>
      <c r="R35" s="83">
        <f t="shared" si="11"/>
        <v>0</v>
      </c>
      <c r="T35" s="83">
        <f t="shared" si="6"/>
        <v>0</v>
      </c>
      <c r="U35" s="83">
        <f t="shared" si="12"/>
        <v>0</v>
      </c>
      <c r="V35" s="83">
        <f t="shared" si="13"/>
        <v>0</v>
      </c>
      <c r="W35" s="83">
        <f t="shared" si="14"/>
        <v>0</v>
      </c>
      <c r="X35" s="85">
        <f t="shared" si="15"/>
        <v>0</v>
      </c>
      <c r="Y35" s="83">
        <f t="shared" si="16"/>
        <v>0</v>
      </c>
      <c r="Z35" s="83">
        <f t="shared" si="17"/>
        <v>0</v>
      </c>
      <c r="AA35" s="83">
        <f t="shared" si="18"/>
        <v>0</v>
      </c>
      <c r="AB35" s="83">
        <f t="shared" si="19"/>
        <v>0</v>
      </c>
    </row>
    <row r="36" spans="1:28" x14ac:dyDescent="0.3">
      <c r="A36" s="132">
        <v>29</v>
      </c>
      <c r="B36" s="137" t="s">
        <v>77</v>
      </c>
      <c r="C36" s="132"/>
      <c r="D36" s="132"/>
      <c r="E36" s="133">
        <v>1</v>
      </c>
      <c r="F36" s="132"/>
      <c r="G36" s="133">
        <f t="shared" si="2"/>
        <v>0</v>
      </c>
      <c r="H36" s="212" t="str">
        <f t="shared" si="20"/>
        <v/>
      </c>
      <c r="I36" s="178">
        <v>1</v>
      </c>
      <c r="J36" s="178">
        <v>1</v>
      </c>
      <c r="K36" s="233">
        <f t="shared" si="7"/>
        <v>0</v>
      </c>
      <c r="L36" s="216">
        <f t="shared" si="8"/>
        <v>0</v>
      </c>
      <c r="M36" s="83">
        <f t="shared" si="3"/>
        <v>0</v>
      </c>
      <c r="N36" s="83">
        <f t="shared" si="4"/>
        <v>0</v>
      </c>
      <c r="O36" s="83">
        <f t="shared" si="5"/>
        <v>0</v>
      </c>
      <c r="P36" s="83">
        <f t="shared" si="9"/>
        <v>0</v>
      </c>
      <c r="Q36" s="83">
        <f t="shared" si="10"/>
        <v>0</v>
      </c>
      <c r="R36" s="83">
        <f t="shared" si="11"/>
        <v>0</v>
      </c>
      <c r="T36" s="83">
        <f t="shared" si="6"/>
        <v>0</v>
      </c>
      <c r="U36" s="83">
        <f t="shared" si="12"/>
        <v>0</v>
      </c>
      <c r="V36" s="83">
        <f t="shared" si="13"/>
        <v>0</v>
      </c>
      <c r="W36" s="83">
        <f t="shared" si="14"/>
        <v>0</v>
      </c>
      <c r="X36" s="85">
        <f t="shared" si="15"/>
        <v>0</v>
      </c>
      <c r="Y36" s="83">
        <f t="shared" si="16"/>
        <v>0</v>
      </c>
      <c r="Z36" s="83">
        <f t="shared" si="17"/>
        <v>0</v>
      </c>
      <c r="AA36" s="83">
        <f t="shared" si="18"/>
        <v>0</v>
      </c>
      <c r="AB36" s="83">
        <f t="shared" si="19"/>
        <v>0</v>
      </c>
    </row>
    <row r="37" spans="1:28" x14ac:dyDescent="0.3">
      <c r="A37" s="132">
        <v>30</v>
      </c>
      <c r="B37" s="137" t="s">
        <v>77</v>
      </c>
      <c r="C37" s="132"/>
      <c r="D37" s="132"/>
      <c r="E37" s="133">
        <v>1</v>
      </c>
      <c r="F37" s="132"/>
      <c r="G37" s="133">
        <f t="shared" si="2"/>
        <v>0</v>
      </c>
      <c r="H37" s="212" t="str">
        <f t="shared" si="20"/>
        <v/>
      </c>
      <c r="I37" s="178">
        <v>1</v>
      </c>
      <c r="J37" s="178">
        <v>1</v>
      </c>
      <c r="K37" s="233">
        <f t="shared" si="7"/>
        <v>0</v>
      </c>
      <c r="L37" s="216">
        <f t="shared" si="8"/>
        <v>0</v>
      </c>
      <c r="M37" s="83">
        <f t="shared" si="3"/>
        <v>0</v>
      </c>
      <c r="N37" s="83">
        <f t="shared" si="4"/>
        <v>0</v>
      </c>
      <c r="O37" s="83">
        <f t="shared" si="5"/>
        <v>0</v>
      </c>
      <c r="P37" s="83">
        <f t="shared" si="9"/>
        <v>0</v>
      </c>
      <c r="Q37" s="83">
        <f t="shared" si="10"/>
        <v>0</v>
      </c>
      <c r="R37" s="83">
        <f t="shared" si="11"/>
        <v>0</v>
      </c>
      <c r="T37" s="83">
        <f t="shared" si="6"/>
        <v>0</v>
      </c>
      <c r="U37" s="83">
        <f t="shared" si="12"/>
        <v>0</v>
      </c>
      <c r="V37" s="83">
        <f t="shared" si="13"/>
        <v>0</v>
      </c>
      <c r="W37" s="83">
        <f t="shared" si="14"/>
        <v>0</v>
      </c>
      <c r="X37" s="85">
        <f t="shared" si="15"/>
        <v>0</v>
      </c>
      <c r="Y37" s="83">
        <f t="shared" si="16"/>
        <v>0</v>
      </c>
      <c r="Z37" s="83">
        <f t="shared" si="17"/>
        <v>0</v>
      </c>
      <c r="AA37" s="83">
        <f t="shared" si="18"/>
        <v>0</v>
      </c>
      <c r="AB37" s="83">
        <f t="shared" si="19"/>
        <v>0</v>
      </c>
    </row>
    <row r="38" spans="1:28" s="132" customFormat="1" x14ac:dyDescent="0.3">
      <c r="G38" s="177"/>
      <c r="H38" s="177"/>
      <c r="L38" s="177"/>
      <c r="M38" s="177"/>
      <c r="N38" s="177"/>
      <c r="O38" s="177"/>
      <c r="P38" s="177"/>
      <c r="Y38" s="180"/>
      <c r="Z38" s="180"/>
      <c r="AA38" s="180"/>
      <c r="AB38" s="180"/>
    </row>
    <row r="39" spans="1:28" s="132" customFormat="1" x14ac:dyDescent="0.3">
      <c r="B39" s="132" t="s">
        <v>381</v>
      </c>
      <c r="G39" s="177"/>
      <c r="H39" s="177"/>
      <c r="L39" s="177"/>
      <c r="M39" s="177"/>
      <c r="N39" s="177"/>
      <c r="O39" s="177"/>
      <c r="P39" s="177"/>
      <c r="Y39" s="180"/>
      <c r="Z39" s="180"/>
      <c r="AA39" s="180"/>
      <c r="AB39" s="180"/>
    </row>
    <row r="40" spans="1:28" s="132" customFormat="1" x14ac:dyDescent="0.3">
      <c r="G40" s="177"/>
      <c r="H40" s="177"/>
      <c r="L40" s="177"/>
      <c r="M40" s="177"/>
      <c r="N40" s="177"/>
      <c r="O40" s="177"/>
      <c r="P40" s="177"/>
      <c r="Y40" s="180"/>
      <c r="Z40" s="180"/>
      <c r="AA40" s="180"/>
      <c r="AB40" s="180"/>
    </row>
    <row r="41" spans="1:28" s="132" customFormat="1" x14ac:dyDescent="0.3">
      <c r="G41" s="177"/>
      <c r="H41" s="177"/>
      <c r="L41" s="177"/>
      <c r="M41" s="177"/>
      <c r="N41" s="177"/>
      <c r="O41" s="177"/>
      <c r="P41" s="177"/>
      <c r="Y41" s="180"/>
      <c r="Z41" s="180"/>
      <c r="AA41" s="180"/>
      <c r="AB41" s="180"/>
    </row>
    <row r="42" spans="1:28" s="132" customFormat="1" x14ac:dyDescent="0.3">
      <c r="G42" s="177"/>
      <c r="H42" s="177"/>
      <c r="L42" s="177"/>
      <c r="M42" s="177"/>
      <c r="N42" s="177"/>
      <c r="O42" s="177"/>
      <c r="P42" s="177"/>
      <c r="Y42" s="180"/>
      <c r="Z42" s="180"/>
      <c r="AA42" s="180"/>
      <c r="AB42" s="180"/>
    </row>
    <row r="43" spans="1:28" s="132" customFormat="1" x14ac:dyDescent="0.3">
      <c r="G43" s="177"/>
      <c r="H43" s="177"/>
      <c r="L43" s="177"/>
      <c r="M43" s="177"/>
      <c r="N43" s="177"/>
      <c r="O43" s="177"/>
      <c r="P43" s="177"/>
      <c r="Y43" s="180"/>
      <c r="Z43" s="180"/>
      <c r="AA43" s="180"/>
      <c r="AB43" s="180"/>
    </row>
    <row r="44" spans="1:28" s="132" customFormat="1" x14ac:dyDescent="0.3">
      <c r="G44" s="177"/>
      <c r="H44" s="177"/>
      <c r="L44" s="177"/>
      <c r="M44" s="177"/>
      <c r="N44" s="177"/>
      <c r="O44" s="177"/>
      <c r="P44" s="177"/>
      <c r="Y44" s="180"/>
      <c r="Z44" s="180"/>
      <c r="AA44" s="180"/>
      <c r="AB44" s="180"/>
    </row>
    <row r="45" spans="1:28" s="132" customFormat="1" x14ac:dyDescent="0.3">
      <c r="G45" s="177"/>
      <c r="H45" s="177"/>
      <c r="L45" s="177"/>
      <c r="M45" s="177"/>
      <c r="N45" s="177"/>
      <c r="O45" s="177"/>
      <c r="P45" s="177"/>
      <c r="Y45" s="180"/>
      <c r="Z45" s="180"/>
      <c r="AA45" s="180"/>
      <c r="AB45" s="180"/>
    </row>
    <row r="46" spans="1:28" s="132" customFormat="1" x14ac:dyDescent="0.3">
      <c r="Y46" s="180"/>
      <c r="Z46" s="180"/>
      <c r="AA46" s="180"/>
      <c r="AB46" s="180"/>
    </row>
    <row r="47" spans="1:28" s="132" customFormat="1" x14ac:dyDescent="0.3">
      <c r="Y47" s="180"/>
      <c r="Z47" s="180"/>
      <c r="AA47" s="180"/>
      <c r="AB47" s="180"/>
    </row>
    <row r="48" spans="1:28" s="132" customFormat="1" x14ac:dyDescent="0.3">
      <c r="Y48" s="180"/>
      <c r="Z48" s="180"/>
      <c r="AA48" s="180"/>
      <c r="AB48" s="180"/>
    </row>
    <row r="49" spans="25:28" s="132" customFormat="1" x14ac:dyDescent="0.3">
      <c r="Y49" s="180"/>
      <c r="Z49" s="180"/>
      <c r="AA49" s="180"/>
      <c r="AB49" s="180"/>
    </row>
    <row r="50" spans="25:28" s="132" customFormat="1" x14ac:dyDescent="0.3">
      <c r="Y50" s="180"/>
      <c r="Z50" s="180"/>
      <c r="AA50" s="180"/>
      <c r="AB50" s="180"/>
    </row>
  </sheetData>
  <sheetProtection sheet="1" objects="1" scenarios="1"/>
  <conditionalFormatting sqref="I8:I37">
    <cfRule type="cellIs" dxfId="2" priority="5" operator="lessThan">
      <formula>1</formula>
    </cfRule>
  </conditionalFormatting>
  <conditionalFormatting sqref="K8:K37">
    <cfRule type="cellIs" dxfId="1" priority="4" operator="greaterThan">
      <formula>0</formula>
    </cfRule>
  </conditionalFormatting>
  <printOptions gridLines="1"/>
  <pageMargins left="0.39370078740157483" right="0.39370078740157483" top="0.39370078740157483" bottom="0.39370078740157483" header="0.31496062992125984" footer="0.31496062992125984"/>
  <pageSetup paperSize="9" orientation="landscape" r:id="rId1"/>
  <rowBreaks count="1" manualBreakCount="1">
    <brk id="37" max="25" man="1"/>
  </rowBreaks>
  <ignoredErrors>
    <ignoredError sqref="H8:H37 L8:L37" unlocked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00FF"/>
  </sheetPr>
  <dimension ref="B1:F25"/>
  <sheetViews>
    <sheetView zoomScale="120" zoomScaleNormal="120" workbookViewId="0">
      <selection activeCell="C8" sqref="C8"/>
    </sheetView>
  </sheetViews>
  <sheetFormatPr defaultRowHeight="14.4" x14ac:dyDescent="0.3"/>
  <cols>
    <col min="1" max="1" width="3" customWidth="1"/>
    <col min="2" max="2" width="20.6640625" customWidth="1"/>
    <col min="3" max="7" width="8.88671875" customWidth="1"/>
    <col min="10" max="10" width="8.88671875" customWidth="1"/>
  </cols>
  <sheetData>
    <row r="1" spans="2:6" ht="21" x14ac:dyDescent="0.4">
      <c r="B1" s="23" t="s">
        <v>177</v>
      </c>
    </row>
    <row r="3" spans="2:6" x14ac:dyDescent="0.3">
      <c r="B3" t="s">
        <v>409</v>
      </c>
    </row>
    <row r="4" spans="2:6" x14ac:dyDescent="0.3">
      <c r="B4" t="s">
        <v>410</v>
      </c>
    </row>
    <row r="5" spans="2:6" x14ac:dyDescent="0.3">
      <c r="B5" t="s">
        <v>411</v>
      </c>
    </row>
    <row r="7" spans="2:6" x14ac:dyDescent="0.3">
      <c r="B7" s="34" t="s">
        <v>13</v>
      </c>
      <c r="C7" s="260" t="s">
        <v>0</v>
      </c>
      <c r="D7" s="260" t="s">
        <v>228</v>
      </c>
      <c r="E7" s="274" t="s">
        <v>229</v>
      </c>
      <c r="F7" s="260" t="s">
        <v>2</v>
      </c>
    </row>
    <row r="8" spans="2:6" x14ac:dyDescent="0.3">
      <c r="B8" t="s">
        <v>346</v>
      </c>
      <c r="C8" s="37">
        <v>0</v>
      </c>
      <c r="D8" s="37" t="s">
        <v>66</v>
      </c>
      <c r="E8" s="37">
        <v>60</v>
      </c>
      <c r="F8" s="14">
        <f>C8*E8</f>
        <v>0</v>
      </c>
    </row>
    <row r="9" spans="2:6" x14ac:dyDescent="0.3">
      <c r="B9" t="s">
        <v>365</v>
      </c>
      <c r="C9" s="37">
        <v>0</v>
      </c>
      <c r="D9" s="37" t="s">
        <v>66</v>
      </c>
      <c r="E9" s="37">
        <v>50</v>
      </c>
      <c r="F9" s="14">
        <f t="shared" ref="F9:F18" si="0">C9*E9</f>
        <v>0</v>
      </c>
    </row>
    <row r="10" spans="2:6" x14ac:dyDescent="0.3">
      <c r="B10" t="s">
        <v>366</v>
      </c>
      <c r="C10" s="37">
        <v>0</v>
      </c>
      <c r="D10" s="37" t="s">
        <v>66</v>
      </c>
      <c r="E10" s="37">
        <v>70</v>
      </c>
      <c r="F10" s="14">
        <f t="shared" si="0"/>
        <v>0</v>
      </c>
    </row>
    <row r="11" spans="2:6" x14ac:dyDescent="0.3">
      <c r="B11" t="s">
        <v>68</v>
      </c>
      <c r="C11" s="37">
        <v>0</v>
      </c>
      <c r="D11" s="37" t="s">
        <v>66</v>
      </c>
      <c r="E11" s="37">
        <v>22</v>
      </c>
      <c r="F11" s="14">
        <f t="shared" si="0"/>
        <v>0</v>
      </c>
    </row>
    <row r="12" spans="2:6" x14ac:dyDescent="0.3">
      <c r="B12" t="s">
        <v>343</v>
      </c>
      <c r="C12" s="37">
        <v>0</v>
      </c>
      <c r="D12" s="37" t="s">
        <v>230</v>
      </c>
      <c r="E12" s="37">
        <v>110</v>
      </c>
      <c r="F12" s="14">
        <f t="shared" si="0"/>
        <v>0</v>
      </c>
    </row>
    <row r="13" spans="2:6" x14ac:dyDescent="0.3">
      <c r="B13" t="s">
        <v>367</v>
      </c>
      <c r="C13" s="37">
        <v>0</v>
      </c>
      <c r="D13" s="37" t="s">
        <v>230</v>
      </c>
      <c r="E13" s="37">
        <v>100</v>
      </c>
      <c r="F13" s="14">
        <f t="shared" si="0"/>
        <v>0</v>
      </c>
    </row>
    <row r="14" spans="2:6" ht="16.2" x14ac:dyDescent="0.3">
      <c r="B14" t="s">
        <v>67</v>
      </c>
      <c r="C14" s="37">
        <v>0</v>
      </c>
      <c r="D14" s="37" t="s">
        <v>231</v>
      </c>
      <c r="E14" s="184">
        <v>2.5</v>
      </c>
      <c r="F14" s="14">
        <f t="shared" si="0"/>
        <v>0</v>
      </c>
    </row>
    <row r="15" spans="2:6" x14ac:dyDescent="0.3">
      <c r="B15" t="s">
        <v>353</v>
      </c>
      <c r="C15" s="37">
        <v>0</v>
      </c>
      <c r="D15" s="37" t="s">
        <v>66</v>
      </c>
      <c r="E15" s="37">
        <v>200</v>
      </c>
      <c r="F15" s="14">
        <f t="shared" si="0"/>
        <v>0</v>
      </c>
    </row>
    <row r="16" spans="2:6" x14ac:dyDescent="0.3">
      <c r="B16" t="s">
        <v>368</v>
      </c>
      <c r="C16" s="37">
        <v>0</v>
      </c>
      <c r="D16" s="37" t="s">
        <v>66</v>
      </c>
      <c r="E16" s="37">
        <v>20</v>
      </c>
      <c r="F16" s="14">
        <f t="shared" si="0"/>
        <v>0</v>
      </c>
    </row>
    <row r="17" spans="2:6" x14ac:dyDescent="0.3">
      <c r="B17" t="s">
        <v>69</v>
      </c>
      <c r="C17" s="37">
        <v>0</v>
      </c>
      <c r="D17" s="37" t="s">
        <v>66</v>
      </c>
      <c r="E17" s="37"/>
      <c r="F17" s="14">
        <f t="shared" si="0"/>
        <v>0</v>
      </c>
    </row>
    <row r="18" spans="2:6" x14ac:dyDescent="0.3">
      <c r="B18" s="6" t="s">
        <v>69</v>
      </c>
      <c r="C18" s="38">
        <v>0</v>
      </c>
      <c r="D18" s="38" t="s">
        <v>66</v>
      </c>
      <c r="E18" s="38"/>
      <c r="F18" s="19">
        <f t="shared" si="0"/>
        <v>0</v>
      </c>
    </row>
    <row r="19" spans="2:6" x14ac:dyDescent="0.3">
      <c r="B19" s="4" t="s">
        <v>44</v>
      </c>
      <c r="C19" s="39"/>
      <c r="D19" s="39"/>
      <c r="E19" s="39"/>
      <c r="F19" s="275">
        <f>SUM(F8:F18)</f>
        <v>0</v>
      </c>
    </row>
    <row r="21" spans="2:6" x14ac:dyDescent="0.3">
      <c r="B21" t="s">
        <v>47</v>
      </c>
      <c r="F21" s="37">
        <f>'1. Pelto'!E8</f>
        <v>60</v>
      </c>
    </row>
    <row r="22" spans="2:6" x14ac:dyDescent="0.3">
      <c r="B22" t="s">
        <v>70</v>
      </c>
      <c r="F22">
        <f>F19/F21</f>
        <v>0</v>
      </c>
    </row>
    <row r="24" spans="2:6" x14ac:dyDescent="0.3">
      <c r="B24" t="s">
        <v>91</v>
      </c>
    </row>
    <row r="25" spans="2:6" x14ac:dyDescent="0.3">
      <c r="B25" s="55" t="s">
        <v>232</v>
      </c>
    </row>
  </sheetData>
  <sheetProtection sheet="1" objects="1" scenarios="1"/>
  <hyperlinks>
    <hyperlink ref="B25" r:id="rId1" xr:uid="{00000000-0004-0000-0A00-000000000000}"/>
  </hyperlinks>
  <printOptions gridLines="1"/>
  <pageMargins left="0.39370078740157483" right="0.39370078740157483" top="0.39370078740157483" bottom="0.39370078740157483" header="0.31496062992125984" footer="0.31496062992125984"/>
  <pageSetup paperSize="9" scale="97" orientation="portrait" r:id="rId2"/>
  <colBreaks count="1" manualBreakCount="1">
    <brk id="7"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R16"/>
  <sheetViews>
    <sheetView zoomScale="120" zoomScaleNormal="120" workbookViewId="0">
      <pane xSplit="2" ySplit="7" topLeftCell="C8" activePane="bottomRight" state="frozen"/>
      <selection activeCell="C26" sqref="C26"/>
      <selection pane="topRight" activeCell="C26" sqref="C26"/>
      <selection pane="bottomLeft" activeCell="C26" sqref="C26"/>
      <selection pane="bottomRight" activeCell="B9" sqref="B9"/>
    </sheetView>
  </sheetViews>
  <sheetFormatPr defaultRowHeight="14.4" x14ac:dyDescent="0.3"/>
  <cols>
    <col min="1" max="1" width="3.5546875" customWidth="1"/>
    <col min="2" max="2" width="20.6640625" customWidth="1"/>
    <col min="3" max="7" width="8.6640625" customWidth="1"/>
    <col min="8" max="8" width="2.44140625" customWidth="1"/>
    <col min="9" max="14" width="9.109375" customWidth="1"/>
    <col min="15" max="15" width="2.6640625" customWidth="1"/>
    <col min="16" max="16" width="10" bestFit="1" customWidth="1"/>
  </cols>
  <sheetData>
    <row r="1" spans="1:18" ht="21" x14ac:dyDescent="0.4">
      <c r="B1" s="23" t="s">
        <v>263</v>
      </c>
      <c r="I1" s="4" t="s">
        <v>42</v>
      </c>
      <c r="P1" s="84" t="s">
        <v>161</v>
      </c>
    </row>
    <row r="2" spans="1:18" x14ac:dyDescent="0.3">
      <c r="B2" s="4"/>
      <c r="C2" s="14"/>
      <c r="D2" s="14"/>
      <c r="E2" s="14"/>
      <c r="H2" s="14"/>
      <c r="I2" s="14"/>
      <c r="J2" s="14"/>
      <c r="K2" s="14"/>
      <c r="L2" s="219" t="s">
        <v>22</v>
      </c>
      <c r="M2" s="18">
        <f>'1. Pelto'!E8</f>
        <v>60</v>
      </c>
      <c r="N2" s="18">
        <f>'1. Pelto'!E14</f>
        <v>60</v>
      </c>
    </row>
    <row r="3" spans="1:18" x14ac:dyDescent="0.3">
      <c r="B3" s="4"/>
      <c r="C3" s="14"/>
      <c r="D3" s="14"/>
      <c r="E3" s="14"/>
      <c r="H3" s="14"/>
      <c r="I3" s="14"/>
      <c r="L3" s="42" t="s">
        <v>20</v>
      </c>
      <c r="M3" s="8">
        <f>IFERROR(M4/M2,0)</f>
        <v>224.80555555555557</v>
      </c>
      <c r="N3" s="8">
        <f>IFERROR(N4/N2,0)</f>
        <v>224.80555555555557</v>
      </c>
    </row>
    <row r="4" spans="1:18" s="4" customFormat="1" x14ac:dyDescent="0.3">
      <c r="B4" s="4" t="s">
        <v>40</v>
      </c>
      <c r="C4" s="39">
        <f>SUM(C8:C16)</f>
        <v>518000</v>
      </c>
      <c r="D4" s="39"/>
      <c r="E4" s="39"/>
      <c r="F4" s="58"/>
      <c r="G4" s="58"/>
      <c r="H4" s="39"/>
      <c r="I4" s="39">
        <f t="shared" ref="I4:N4" si="0">SUM(I8:I16)</f>
        <v>16616.666666666668</v>
      </c>
      <c r="J4" s="39">
        <f t="shared" si="0"/>
        <v>10360</v>
      </c>
      <c r="K4" s="39">
        <f t="shared" si="0"/>
        <v>0</v>
      </c>
      <c r="L4" s="39">
        <f t="shared" si="0"/>
        <v>26976.666666666668</v>
      </c>
      <c r="M4" s="58">
        <f t="shared" si="0"/>
        <v>13488.333333333334</v>
      </c>
      <c r="N4" s="218">
        <f t="shared" si="0"/>
        <v>13488.333333333334</v>
      </c>
      <c r="P4" s="82">
        <f>SUM(P8:P16)</f>
        <v>391966.66666666669</v>
      </c>
      <c r="Q4" s="82">
        <f>SUM(Q8:Q16)</f>
        <v>195983.33333333334</v>
      </c>
      <c r="R4" s="82">
        <f>SUM(R8:R16)</f>
        <v>195983.33333333334</v>
      </c>
    </row>
    <row r="5" spans="1:18" s="4" customFormat="1" x14ac:dyDescent="0.3">
      <c r="C5" s="39"/>
      <c r="D5" s="39"/>
      <c r="E5" s="39"/>
      <c r="F5" s="58"/>
      <c r="G5" s="58"/>
      <c r="H5" s="39"/>
      <c r="I5" s="39"/>
      <c r="J5" s="39"/>
      <c r="K5" s="39"/>
      <c r="L5" s="98">
        <f>L4/$L$4</f>
        <v>1</v>
      </c>
      <c r="M5" s="98">
        <f>M4/$L$4</f>
        <v>0.5</v>
      </c>
      <c r="N5" s="98">
        <f>N4/$L$4</f>
        <v>0.5</v>
      </c>
      <c r="P5" s="82"/>
      <c r="Q5" s="82"/>
      <c r="R5" s="82"/>
    </row>
    <row r="6" spans="1:18" x14ac:dyDescent="0.3">
      <c r="A6" s="4"/>
      <c r="B6" s="4" t="s">
        <v>86</v>
      </c>
      <c r="C6" s="4"/>
      <c r="D6" s="4"/>
      <c r="E6" s="4"/>
      <c r="F6" s="4"/>
      <c r="G6" s="4"/>
      <c r="H6" s="4"/>
      <c r="J6" s="179">
        <f>'7. Laskelma'!D7</f>
        <v>0.04</v>
      </c>
      <c r="K6" s="179">
        <v>0</v>
      </c>
      <c r="L6" s="4"/>
      <c r="M6" s="4"/>
      <c r="N6" s="4"/>
      <c r="Q6" s="84"/>
      <c r="R6" s="84"/>
    </row>
    <row r="7" spans="1:18" ht="46.5" customHeight="1" x14ac:dyDescent="0.3">
      <c r="A7" s="34"/>
      <c r="B7" s="34" t="s">
        <v>162</v>
      </c>
      <c r="C7" s="68" t="s">
        <v>71</v>
      </c>
      <c r="D7" s="68" t="s">
        <v>293</v>
      </c>
      <c r="E7" s="68" t="s">
        <v>73</v>
      </c>
      <c r="F7" s="68" t="str">
        <f>'1. Pelto'!E5</f>
        <v>Ohra</v>
      </c>
      <c r="G7" s="68" t="s">
        <v>240</v>
      </c>
      <c r="H7" s="3"/>
      <c r="I7" s="68" t="s">
        <v>26</v>
      </c>
      <c r="J7" s="68" t="s">
        <v>27</v>
      </c>
      <c r="K7" s="68" t="s">
        <v>88</v>
      </c>
      <c r="L7" s="68" t="s">
        <v>29</v>
      </c>
      <c r="M7" s="68" t="str">
        <f>F7</f>
        <v>Ohra</v>
      </c>
      <c r="N7" s="68" t="s">
        <v>182</v>
      </c>
      <c r="P7" s="191" t="s">
        <v>297</v>
      </c>
      <c r="Q7" s="191" t="str">
        <f>F7</f>
        <v>Ohra</v>
      </c>
      <c r="R7" s="193" t="s">
        <v>43</v>
      </c>
    </row>
    <row r="8" spans="1:18" x14ac:dyDescent="0.3">
      <c r="A8" s="132">
        <v>1</v>
      </c>
      <c r="B8" s="204" t="s">
        <v>253</v>
      </c>
      <c r="C8" s="205">
        <f>'1. Pelto'!E34</f>
        <v>78000</v>
      </c>
      <c r="D8" s="205">
        <f>'1. Pelto'!E29</f>
        <v>6</v>
      </c>
      <c r="E8" s="205">
        <f>'1. Pelto'!E30</f>
        <v>40</v>
      </c>
      <c r="F8" s="206">
        <f>IF('1. Pelto'!E24=0,0,'1. Pelto'!E25/'1. Pelto'!E24)</f>
        <v>0.5</v>
      </c>
      <c r="G8" s="206">
        <f>1-F8</f>
        <v>0.5</v>
      </c>
      <c r="I8" s="14">
        <f>C8/E8</f>
        <v>1950</v>
      </c>
      <c r="J8" s="14">
        <f t="shared" ref="J8:J15" si="1">C8/2*$J$6</f>
        <v>1560</v>
      </c>
      <c r="K8" s="133">
        <f t="shared" ref="K8:K15" si="2">C8/2*$K$6</f>
        <v>0</v>
      </c>
      <c r="L8" s="14">
        <f>SUM(I8:K8)</f>
        <v>3510</v>
      </c>
      <c r="M8" s="14">
        <f>L8*F8</f>
        <v>1755</v>
      </c>
      <c r="N8" s="14">
        <f>L8*G8</f>
        <v>1755</v>
      </c>
      <c r="P8" s="83">
        <f>C8-(I8*D8)</f>
        <v>66300</v>
      </c>
      <c r="Q8" s="83">
        <f>P8*F8</f>
        <v>33150</v>
      </c>
      <c r="R8" s="83">
        <f>P8*G8</f>
        <v>33150</v>
      </c>
    </row>
    <row r="9" spans="1:18" x14ac:dyDescent="0.3">
      <c r="A9" s="132">
        <v>2</v>
      </c>
      <c r="B9" s="137" t="s">
        <v>337</v>
      </c>
      <c r="C9" s="133">
        <v>20000</v>
      </c>
      <c r="D9" s="133">
        <v>25</v>
      </c>
      <c r="E9" s="133">
        <v>30</v>
      </c>
      <c r="F9" s="178">
        <v>0.5</v>
      </c>
      <c r="G9" s="233">
        <f t="shared" ref="G9:G15" si="3">1-F9</f>
        <v>0.5</v>
      </c>
      <c r="I9" s="14">
        <f t="shared" ref="I9:I15" si="4">C9/E9</f>
        <v>666.66666666666663</v>
      </c>
      <c r="J9" s="14">
        <f t="shared" si="1"/>
        <v>400</v>
      </c>
      <c r="K9" s="133">
        <f t="shared" si="2"/>
        <v>0</v>
      </c>
      <c r="L9" s="14">
        <f t="shared" ref="L9:L15" si="5">SUM(I9:K9)</f>
        <v>1066.6666666666665</v>
      </c>
      <c r="M9" s="14">
        <f t="shared" ref="M9:M15" si="6">L9*F9</f>
        <v>533.33333333333326</v>
      </c>
      <c r="N9" s="14">
        <f t="shared" ref="N9:N15" si="7">L9*G9</f>
        <v>533.33333333333326</v>
      </c>
      <c r="P9" s="83">
        <f t="shared" ref="P9:P15" si="8">C9-(I9*D9)</f>
        <v>3333.3333333333358</v>
      </c>
      <c r="Q9" s="83">
        <f t="shared" ref="Q9:Q15" si="9">P9*F9</f>
        <v>1666.6666666666679</v>
      </c>
      <c r="R9" s="83">
        <f t="shared" ref="R9:R15" si="10">P9*G9</f>
        <v>1666.6666666666679</v>
      </c>
    </row>
    <row r="10" spans="1:18" x14ac:dyDescent="0.3">
      <c r="A10" s="132">
        <v>3</v>
      </c>
      <c r="B10" s="137" t="s">
        <v>338</v>
      </c>
      <c r="C10" s="133">
        <v>200000</v>
      </c>
      <c r="D10" s="133">
        <v>2</v>
      </c>
      <c r="E10" s="133">
        <v>30</v>
      </c>
      <c r="F10" s="178">
        <v>0.5</v>
      </c>
      <c r="G10" s="233">
        <f t="shared" si="3"/>
        <v>0.5</v>
      </c>
      <c r="I10" s="14">
        <f t="shared" si="4"/>
        <v>6666.666666666667</v>
      </c>
      <c r="J10" s="14">
        <f t="shared" si="1"/>
        <v>4000</v>
      </c>
      <c r="K10" s="133">
        <f t="shared" si="2"/>
        <v>0</v>
      </c>
      <c r="L10" s="14">
        <f t="shared" si="5"/>
        <v>10666.666666666668</v>
      </c>
      <c r="M10" s="14">
        <f t="shared" si="6"/>
        <v>5333.3333333333339</v>
      </c>
      <c r="N10" s="14">
        <f t="shared" si="7"/>
        <v>5333.3333333333339</v>
      </c>
      <c r="P10" s="83">
        <f t="shared" si="8"/>
        <v>186666.66666666666</v>
      </c>
      <c r="Q10" s="83">
        <f t="shared" si="9"/>
        <v>93333.333333333328</v>
      </c>
      <c r="R10" s="83">
        <f t="shared" si="10"/>
        <v>93333.333333333328</v>
      </c>
    </row>
    <row r="11" spans="1:18" x14ac:dyDescent="0.3">
      <c r="A11" s="132">
        <v>4</v>
      </c>
      <c r="B11" s="137" t="s">
        <v>339</v>
      </c>
      <c r="C11" s="133">
        <v>50000</v>
      </c>
      <c r="D11" s="133">
        <v>2</v>
      </c>
      <c r="E11" s="133">
        <v>30</v>
      </c>
      <c r="F11" s="178">
        <v>0.5</v>
      </c>
      <c r="G11" s="233">
        <f t="shared" si="3"/>
        <v>0.5</v>
      </c>
      <c r="I11" s="14">
        <f t="shared" si="4"/>
        <v>1666.6666666666667</v>
      </c>
      <c r="J11" s="14">
        <f t="shared" si="1"/>
        <v>1000</v>
      </c>
      <c r="K11" s="133">
        <f t="shared" si="2"/>
        <v>0</v>
      </c>
      <c r="L11" s="14">
        <f t="shared" si="5"/>
        <v>2666.666666666667</v>
      </c>
      <c r="M11" s="14">
        <f t="shared" si="6"/>
        <v>1333.3333333333335</v>
      </c>
      <c r="N11" s="14">
        <f t="shared" si="7"/>
        <v>1333.3333333333335</v>
      </c>
      <c r="P11" s="83">
        <f t="shared" si="8"/>
        <v>46666.666666666664</v>
      </c>
      <c r="Q11" s="83">
        <f t="shared" si="9"/>
        <v>23333.333333333332</v>
      </c>
      <c r="R11" s="83">
        <f t="shared" si="10"/>
        <v>23333.333333333332</v>
      </c>
    </row>
    <row r="12" spans="1:18" x14ac:dyDescent="0.3">
      <c r="A12" s="132">
        <v>5</v>
      </c>
      <c r="B12" s="137" t="s">
        <v>85</v>
      </c>
      <c r="C12" s="133">
        <v>100000</v>
      </c>
      <c r="D12" s="133">
        <v>18</v>
      </c>
      <c r="E12" s="133">
        <v>30</v>
      </c>
      <c r="F12" s="178">
        <v>0.5</v>
      </c>
      <c r="G12" s="233">
        <f t="shared" si="3"/>
        <v>0.5</v>
      </c>
      <c r="I12" s="14">
        <f t="shared" si="4"/>
        <v>3333.3333333333335</v>
      </c>
      <c r="J12" s="14">
        <f t="shared" si="1"/>
        <v>2000</v>
      </c>
      <c r="K12" s="133">
        <f t="shared" si="2"/>
        <v>0</v>
      </c>
      <c r="L12" s="14">
        <f t="shared" si="5"/>
        <v>5333.3333333333339</v>
      </c>
      <c r="M12" s="14">
        <f t="shared" si="6"/>
        <v>2666.666666666667</v>
      </c>
      <c r="N12" s="14">
        <f t="shared" si="7"/>
        <v>2666.666666666667</v>
      </c>
      <c r="P12" s="83">
        <f t="shared" si="8"/>
        <v>40000</v>
      </c>
      <c r="Q12" s="83">
        <f t="shared" si="9"/>
        <v>20000</v>
      </c>
      <c r="R12" s="83">
        <f t="shared" si="10"/>
        <v>20000</v>
      </c>
    </row>
    <row r="13" spans="1:18" x14ac:dyDescent="0.3">
      <c r="A13" s="132">
        <v>6</v>
      </c>
      <c r="B13" s="137" t="s">
        <v>84</v>
      </c>
      <c r="C13" s="133">
        <v>70000</v>
      </c>
      <c r="D13" s="133">
        <v>9</v>
      </c>
      <c r="E13" s="133">
        <v>30</v>
      </c>
      <c r="F13" s="178">
        <v>0.5</v>
      </c>
      <c r="G13" s="233">
        <f t="shared" si="3"/>
        <v>0.5</v>
      </c>
      <c r="I13" s="14">
        <f t="shared" si="4"/>
        <v>2333.3333333333335</v>
      </c>
      <c r="J13" s="14">
        <f t="shared" si="1"/>
        <v>1400</v>
      </c>
      <c r="K13" s="133">
        <f t="shared" si="2"/>
        <v>0</v>
      </c>
      <c r="L13" s="14">
        <f t="shared" si="5"/>
        <v>3733.3333333333335</v>
      </c>
      <c r="M13" s="14">
        <f t="shared" si="6"/>
        <v>1866.6666666666667</v>
      </c>
      <c r="N13" s="14">
        <f t="shared" si="7"/>
        <v>1866.6666666666667</v>
      </c>
      <c r="P13" s="83">
        <f t="shared" si="8"/>
        <v>49000</v>
      </c>
      <c r="Q13" s="83">
        <f t="shared" si="9"/>
        <v>24500</v>
      </c>
      <c r="R13" s="83">
        <f t="shared" si="10"/>
        <v>24500</v>
      </c>
    </row>
    <row r="14" spans="1:18" x14ac:dyDescent="0.3">
      <c r="A14" s="132">
        <v>7</v>
      </c>
      <c r="B14" s="137" t="s">
        <v>77</v>
      </c>
      <c r="C14" s="133">
        <v>0</v>
      </c>
      <c r="D14" s="133">
        <v>1</v>
      </c>
      <c r="E14" s="133">
        <v>30</v>
      </c>
      <c r="F14" s="178">
        <v>1</v>
      </c>
      <c r="G14" s="233">
        <f t="shared" si="3"/>
        <v>0</v>
      </c>
      <c r="I14" s="14">
        <f t="shared" si="4"/>
        <v>0</v>
      </c>
      <c r="J14" s="14">
        <f t="shared" si="1"/>
        <v>0</v>
      </c>
      <c r="K14" s="133">
        <f t="shared" si="2"/>
        <v>0</v>
      </c>
      <c r="L14" s="14">
        <f t="shared" si="5"/>
        <v>0</v>
      </c>
      <c r="M14" s="14">
        <f t="shared" si="6"/>
        <v>0</v>
      </c>
      <c r="N14" s="14">
        <f t="shared" si="7"/>
        <v>0</v>
      </c>
      <c r="P14" s="83">
        <f t="shared" si="8"/>
        <v>0</v>
      </c>
      <c r="Q14" s="83">
        <f t="shared" si="9"/>
        <v>0</v>
      </c>
      <c r="R14" s="83">
        <f t="shared" si="10"/>
        <v>0</v>
      </c>
    </row>
    <row r="15" spans="1:18" x14ac:dyDescent="0.3">
      <c r="A15" s="132">
        <v>8</v>
      </c>
      <c r="B15" s="137" t="s">
        <v>77</v>
      </c>
      <c r="C15" s="133">
        <v>0</v>
      </c>
      <c r="D15" s="133">
        <v>1</v>
      </c>
      <c r="E15" s="133">
        <v>30</v>
      </c>
      <c r="F15" s="178">
        <v>1</v>
      </c>
      <c r="G15" s="233">
        <f t="shared" si="3"/>
        <v>0</v>
      </c>
      <c r="I15" s="14">
        <f t="shared" si="4"/>
        <v>0</v>
      </c>
      <c r="J15" s="14">
        <f t="shared" si="1"/>
        <v>0</v>
      </c>
      <c r="K15" s="133">
        <f t="shared" si="2"/>
        <v>0</v>
      </c>
      <c r="L15" s="14">
        <f t="shared" si="5"/>
        <v>0</v>
      </c>
      <c r="M15" s="14">
        <f t="shared" si="6"/>
        <v>0</v>
      </c>
      <c r="N15" s="14">
        <f t="shared" si="7"/>
        <v>0</v>
      </c>
      <c r="P15" s="83">
        <f t="shared" si="8"/>
        <v>0</v>
      </c>
      <c r="Q15" s="83">
        <f t="shared" si="9"/>
        <v>0</v>
      </c>
      <c r="R15" s="83">
        <f t="shared" si="10"/>
        <v>0</v>
      </c>
    </row>
    <row r="16" spans="1:18" s="132" customFormat="1" x14ac:dyDescent="0.3"/>
  </sheetData>
  <sheetProtection sheet="1" objects="1" scenarios="1"/>
  <conditionalFormatting sqref="G9:G15">
    <cfRule type="cellIs" dxfId="0" priority="9" operator="greaterThan">
      <formula>0</formula>
    </cfRule>
  </conditionalFormatting>
  <printOptions gridLines="1"/>
  <pageMargins left="0.39370078740157483" right="0.39370078740157483" top="0.39370078740157483" bottom="0.39370078740157483" header="0.31496062992125984" footer="0.31496062992125984"/>
  <pageSetup paperSize="9" scale="77" orientation="landscape" r:id="rId1"/>
  <colBreaks count="1" manualBreakCount="1">
    <brk id="19" max="32"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B1:N45"/>
  <sheetViews>
    <sheetView zoomScale="120" zoomScaleNormal="120" workbookViewId="0">
      <pane ySplit="3" topLeftCell="A4" activePane="bottomLeft" state="frozen"/>
      <selection pane="bottomLeft" activeCell="B4" sqref="B4"/>
    </sheetView>
  </sheetViews>
  <sheetFormatPr defaultRowHeight="14.4" x14ac:dyDescent="0.3"/>
  <cols>
    <col min="1" max="1" width="2.6640625" customWidth="1"/>
    <col min="2" max="2" width="34.88671875" customWidth="1"/>
    <col min="3" max="6" width="10.33203125" customWidth="1"/>
    <col min="7" max="7" width="2.6640625" customWidth="1"/>
  </cols>
  <sheetData>
    <row r="1" spans="2:9" ht="21" x14ac:dyDescent="0.4">
      <c r="B1" s="23" t="s">
        <v>245</v>
      </c>
    </row>
    <row r="2" spans="2:9" ht="15" customHeight="1" x14ac:dyDescent="0.4">
      <c r="B2" s="23"/>
      <c r="C2" s="27"/>
      <c r="D2" s="27"/>
      <c r="E2" s="209">
        <v>12</v>
      </c>
    </row>
    <row r="3" spans="2:9" ht="28.8" x14ac:dyDescent="0.3">
      <c r="B3" s="34" t="s">
        <v>282</v>
      </c>
      <c r="C3" s="194" t="s">
        <v>249</v>
      </c>
      <c r="D3" s="194" t="s">
        <v>246</v>
      </c>
      <c r="E3" s="194" t="s">
        <v>247</v>
      </c>
      <c r="F3" s="34" t="s">
        <v>248</v>
      </c>
    </row>
    <row r="4" spans="2:9" x14ac:dyDescent="0.3">
      <c r="B4" s="137" t="s">
        <v>347</v>
      </c>
      <c r="C4" s="207">
        <v>2</v>
      </c>
      <c r="D4" s="207">
        <v>1</v>
      </c>
      <c r="E4" s="207">
        <f t="shared" ref="E4:E21" si="0">$E$2</f>
        <v>12</v>
      </c>
      <c r="F4">
        <f>C4*D4*E4</f>
        <v>24</v>
      </c>
    </row>
    <row r="5" spans="2:9" x14ac:dyDescent="0.3">
      <c r="B5" s="137" t="s">
        <v>351</v>
      </c>
      <c r="C5" s="207">
        <v>7</v>
      </c>
      <c r="D5" s="207">
        <v>1.5</v>
      </c>
      <c r="E5" s="207">
        <f t="shared" si="0"/>
        <v>12</v>
      </c>
      <c r="F5">
        <f t="shared" ref="F5:F12" si="1">C5*D5*E5</f>
        <v>126</v>
      </c>
    </row>
    <row r="6" spans="2:9" x14ac:dyDescent="0.3">
      <c r="B6" s="137" t="s">
        <v>353</v>
      </c>
      <c r="C6" s="207">
        <v>2</v>
      </c>
      <c r="D6" s="207">
        <v>2</v>
      </c>
      <c r="E6" s="207">
        <f t="shared" si="0"/>
        <v>12</v>
      </c>
      <c r="F6">
        <f t="shared" si="1"/>
        <v>48</v>
      </c>
    </row>
    <row r="7" spans="2:9" x14ac:dyDescent="0.3">
      <c r="B7" s="137" t="s">
        <v>340</v>
      </c>
      <c r="C7" s="207">
        <v>3</v>
      </c>
      <c r="D7" s="207">
        <v>1</v>
      </c>
      <c r="E7" s="207">
        <f t="shared" si="0"/>
        <v>12</v>
      </c>
      <c r="F7">
        <f t="shared" si="1"/>
        <v>36</v>
      </c>
    </row>
    <row r="8" spans="2:9" x14ac:dyDescent="0.3">
      <c r="B8" s="137" t="s">
        <v>341</v>
      </c>
      <c r="C8" s="207">
        <v>3</v>
      </c>
      <c r="D8" s="207">
        <v>1</v>
      </c>
      <c r="E8" s="207">
        <f t="shared" si="0"/>
        <v>12</v>
      </c>
      <c r="F8">
        <f t="shared" ref="F8" si="2">C8*D8*E8</f>
        <v>36</v>
      </c>
    </row>
    <row r="9" spans="2:9" x14ac:dyDescent="0.3">
      <c r="B9" s="137" t="s">
        <v>342</v>
      </c>
      <c r="C9" s="207">
        <v>1</v>
      </c>
      <c r="D9" s="207">
        <v>1</v>
      </c>
      <c r="E9" s="207">
        <f t="shared" si="0"/>
        <v>12</v>
      </c>
      <c r="F9">
        <f t="shared" si="1"/>
        <v>12</v>
      </c>
    </row>
    <row r="10" spans="2:9" x14ac:dyDescent="0.3">
      <c r="B10" s="137" t="s">
        <v>348</v>
      </c>
      <c r="C10" s="207">
        <v>0.5</v>
      </c>
      <c r="D10" s="207">
        <v>1</v>
      </c>
      <c r="E10" s="207">
        <f t="shared" si="0"/>
        <v>12</v>
      </c>
      <c r="F10">
        <f t="shared" si="1"/>
        <v>6</v>
      </c>
    </row>
    <row r="11" spans="2:9" x14ac:dyDescent="0.3">
      <c r="B11" s="137" t="s">
        <v>343</v>
      </c>
      <c r="C11" s="207">
        <v>6</v>
      </c>
      <c r="D11" s="207">
        <v>1</v>
      </c>
      <c r="E11" s="207">
        <f t="shared" si="0"/>
        <v>12</v>
      </c>
      <c r="F11">
        <f t="shared" si="1"/>
        <v>72</v>
      </c>
    </row>
    <row r="12" spans="2:9" x14ac:dyDescent="0.3">
      <c r="B12" s="137" t="s">
        <v>344</v>
      </c>
      <c r="C12" s="207">
        <v>4</v>
      </c>
      <c r="D12" s="207">
        <v>1</v>
      </c>
      <c r="E12" s="207">
        <f t="shared" si="0"/>
        <v>12</v>
      </c>
      <c r="F12">
        <f t="shared" si="1"/>
        <v>48</v>
      </c>
      <c r="I12" s="132" t="s">
        <v>382</v>
      </c>
    </row>
    <row r="13" spans="2:9" x14ac:dyDescent="0.3">
      <c r="B13" s="137" t="s">
        <v>349</v>
      </c>
      <c r="C13" s="207">
        <v>1</v>
      </c>
      <c r="D13" s="207">
        <v>1</v>
      </c>
      <c r="E13" s="207">
        <f t="shared" si="0"/>
        <v>12</v>
      </c>
      <c r="F13">
        <f t="shared" ref="F13" si="3">C13*D13*E13</f>
        <v>12</v>
      </c>
      <c r="I13" t="s">
        <v>383</v>
      </c>
    </row>
    <row r="14" spans="2:9" x14ac:dyDescent="0.3">
      <c r="B14" s="137" t="s">
        <v>345</v>
      </c>
      <c r="C14" s="207">
        <v>0.5</v>
      </c>
      <c r="D14" s="207">
        <v>1</v>
      </c>
      <c r="E14" s="207">
        <f t="shared" si="0"/>
        <v>12</v>
      </c>
      <c r="F14">
        <f t="shared" ref="F14:F21" si="4">C14*D14*E14</f>
        <v>6</v>
      </c>
      <c r="I14" t="s">
        <v>384</v>
      </c>
    </row>
    <row r="15" spans="2:9" x14ac:dyDescent="0.3">
      <c r="B15" s="137" t="s">
        <v>350</v>
      </c>
      <c r="C15" s="207">
        <v>5</v>
      </c>
      <c r="D15" s="207">
        <v>1</v>
      </c>
      <c r="E15" s="207">
        <f t="shared" si="0"/>
        <v>12</v>
      </c>
      <c r="F15">
        <f t="shared" si="4"/>
        <v>60</v>
      </c>
    </row>
    <row r="16" spans="2:9" x14ac:dyDescent="0.3">
      <c r="B16" s="137" t="s">
        <v>352</v>
      </c>
      <c r="C16" s="207">
        <v>1</v>
      </c>
      <c r="D16" s="207">
        <v>1</v>
      </c>
      <c r="E16" s="207">
        <f t="shared" si="0"/>
        <v>12</v>
      </c>
      <c r="F16">
        <f t="shared" si="4"/>
        <v>12</v>
      </c>
    </row>
    <row r="17" spans="2:14" x14ac:dyDescent="0.3">
      <c r="B17" s="137" t="s">
        <v>354</v>
      </c>
      <c r="C17" s="207">
        <v>1</v>
      </c>
      <c r="D17" s="207">
        <v>1</v>
      </c>
      <c r="E17" s="207">
        <f t="shared" si="0"/>
        <v>12</v>
      </c>
      <c r="F17">
        <f t="shared" si="4"/>
        <v>12</v>
      </c>
    </row>
    <row r="18" spans="2:14" x14ac:dyDescent="0.3">
      <c r="B18" s="137" t="s">
        <v>163</v>
      </c>
      <c r="C18" s="207">
        <v>4</v>
      </c>
      <c r="D18" s="207">
        <v>1</v>
      </c>
      <c r="E18" s="207">
        <f t="shared" si="0"/>
        <v>12</v>
      </c>
      <c r="F18">
        <f t="shared" si="4"/>
        <v>48</v>
      </c>
      <c r="I18" t="s">
        <v>413</v>
      </c>
    </row>
    <row r="19" spans="2:14" x14ac:dyDescent="0.3">
      <c r="B19" s="137" t="s">
        <v>241</v>
      </c>
      <c r="C19" s="207">
        <v>3</v>
      </c>
      <c r="D19" s="207">
        <v>1</v>
      </c>
      <c r="E19" s="207">
        <f t="shared" si="0"/>
        <v>12</v>
      </c>
      <c r="F19">
        <f t="shared" si="4"/>
        <v>36</v>
      </c>
      <c r="I19" t="s">
        <v>242</v>
      </c>
    </row>
    <row r="20" spans="2:14" x14ac:dyDescent="0.3">
      <c r="B20" s="137" t="s">
        <v>412</v>
      </c>
      <c r="C20" s="207">
        <v>0</v>
      </c>
      <c r="D20" s="207">
        <v>1</v>
      </c>
      <c r="E20" s="207">
        <f t="shared" si="0"/>
        <v>12</v>
      </c>
      <c r="F20">
        <f t="shared" si="4"/>
        <v>0</v>
      </c>
      <c r="I20" t="s">
        <v>243</v>
      </c>
    </row>
    <row r="21" spans="2:14" x14ac:dyDescent="0.3">
      <c r="B21" s="139" t="s">
        <v>77</v>
      </c>
      <c r="C21" s="208">
        <v>0</v>
      </c>
      <c r="D21" s="208">
        <v>1</v>
      </c>
      <c r="E21" s="208">
        <f t="shared" si="0"/>
        <v>12</v>
      </c>
      <c r="F21" s="6">
        <f t="shared" si="4"/>
        <v>0</v>
      </c>
      <c r="I21" t="s">
        <v>244</v>
      </c>
    </row>
    <row r="22" spans="2:14" x14ac:dyDescent="0.3">
      <c r="B22" s="41" t="s">
        <v>44</v>
      </c>
      <c r="C22" s="127">
        <f>SUM(C4:C21)</f>
        <v>44</v>
      </c>
      <c r="D22" s="195"/>
      <c r="E22" s="127"/>
      <c r="F22" s="4">
        <f>SUM(F4:F21)</f>
        <v>594</v>
      </c>
    </row>
    <row r="24" spans="2:14" x14ac:dyDescent="0.3">
      <c r="B24" s="4" t="s">
        <v>288</v>
      </c>
      <c r="C24" s="4"/>
      <c r="D24" s="4"/>
      <c r="E24" s="4"/>
      <c r="F24" s="210">
        <v>60</v>
      </c>
      <c r="G24" s="4" t="s">
        <v>276</v>
      </c>
    </row>
    <row r="25" spans="2:14" x14ac:dyDescent="0.3">
      <c r="B25" s="4" t="s">
        <v>266</v>
      </c>
      <c r="C25" s="4"/>
      <c r="D25" s="4"/>
      <c r="E25" s="4"/>
      <c r="F25" s="4">
        <f>F22-F24</f>
        <v>534</v>
      </c>
      <c r="G25" s="4" t="s">
        <v>276</v>
      </c>
    </row>
    <row r="26" spans="2:14" x14ac:dyDescent="0.3">
      <c r="B26" s="4" t="s">
        <v>278</v>
      </c>
      <c r="F26" s="39">
        <f>'1. Pelto'!E8</f>
        <v>60</v>
      </c>
      <c r="G26" s="4" t="s">
        <v>66</v>
      </c>
    </row>
    <row r="27" spans="2:14" x14ac:dyDescent="0.3">
      <c r="B27" s="4" t="s">
        <v>277</v>
      </c>
      <c r="F27" s="255">
        <f>F22/F26</f>
        <v>9.9</v>
      </c>
      <c r="G27" s="4" t="s">
        <v>279</v>
      </c>
    </row>
    <row r="31" spans="2:14" x14ac:dyDescent="0.3">
      <c r="C31" s="11"/>
      <c r="D31" s="11"/>
      <c r="E31" s="11"/>
      <c r="F31" s="11"/>
      <c r="G31" s="11"/>
      <c r="H31" s="11"/>
      <c r="I31" s="11"/>
      <c r="J31" s="11"/>
      <c r="K31" s="11"/>
      <c r="L31" s="11"/>
      <c r="M31" s="11"/>
      <c r="N31" s="11"/>
    </row>
    <row r="32" spans="2:14" x14ac:dyDescent="0.3">
      <c r="C32" s="11"/>
      <c r="D32" s="11"/>
      <c r="E32" s="11"/>
      <c r="F32" s="11"/>
      <c r="G32" s="11"/>
      <c r="H32" s="11"/>
      <c r="I32" s="11"/>
      <c r="J32" s="11"/>
      <c r="K32" s="11"/>
      <c r="L32" s="11"/>
      <c r="M32" s="11"/>
      <c r="N32" s="11"/>
    </row>
    <row r="33" spans="2:14" x14ac:dyDescent="0.3">
      <c r="C33" s="11"/>
      <c r="D33" s="11"/>
      <c r="E33" s="11"/>
      <c r="F33" s="11"/>
      <c r="G33" s="11"/>
      <c r="H33" s="11"/>
      <c r="I33" s="11"/>
      <c r="J33" s="11"/>
      <c r="K33" s="11"/>
      <c r="L33" s="11"/>
      <c r="M33" s="11"/>
      <c r="N33" s="11"/>
    </row>
    <row r="34" spans="2:14" x14ac:dyDescent="0.3">
      <c r="C34" s="11"/>
      <c r="D34" s="11"/>
      <c r="E34" s="11"/>
      <c r="F34" s="11"/>
      <c r="G34" s="11"/>
      <c r="H34" s="11"/>
      <c r="I34" s="11"/>
      <c r="J34" s="11"/>
      <c r="K34" s="11"/>
      <c r="L34" s="11"/>
      <c r="M34" s="11"/>
      <c r="N34" s="11"/>
    </row>
    <row r="41" spans="2:14" x14ac:dyDescent="0.3">
      <c r="B41" s="11"/>
      <c r="C41" s="11"/>
      <c r="D41" s="11"/>
      <c r="E41" s="11"/>
      <c r="F41" s="11"/>
      <c r="G41" s="11"/>
      <c r="H41" s="11"/>
      <c r="I41" s="11"/>
      <c r="J41" s="11"/>
      <c r="K41" s="11"/>
      <c r="L41" s="11"/>
      <c r="M41" s="11"/>
      <c r="N41" s="11"/>
    </row>
    <row r="42" spans="2:14" x14ac:dyDescent="0.3">
      <c r="B42" s="11"/>
      <c r="C42" s="11"/>
      <c r="D42" s="11"/>
      <c r="E42" s="11"/>
      <c r="F42" s="11"/>
      <c r="G42" s="11"/>
      <c r="H42" s="11"/>
      <c r="I42" s="11"/>
      <c r="J42" s="11"/>
      <c r="K42" s="11"/>
      <c r="L42" s="11"/>
      <c r="M42" s="11"/>
      <c r="N42" s="11"/>
    </row>
    <row r="43" spans="2:14" x14ac:dyDescent="0.3">
      <c r="B43" s="11"/>
      <c r="C43" s="11"/>
      <c r="D43" s="11"/>
      <c r="E43" s="11"/>
      <c r="F43" s="11"/>
      <c r="G43" s="11"/>
      <c r="H43" s="11"/>
      <c r="I43" s="11"/>
      <c r="J43" s="11"/>
      <c r="K43" s="11"/>
      <c r="L43" s="11"/>
      <c r="M43" s="11"/>
      <c r="N43" s="11"/>
    </row>
    <row r="44" spans="2:14" x14ac:dyDescent="0.3">
      <c r="B44" s="11"/>
      <c r="C44" s="11"/>
      <c r="D44" s="11"/>
      <c r="E44" s="11"/>
      <c r="F44" s="11"/>
      <c r="G44" s="11"/>
      <c r="H44" s="11"/>
      <c r="I44" s="11"/>
      <c r="J44" s="11"/>
      <c r="K44" s="11"/>
      <c r="L44" s="11"/>
      <c r="M44" s="11"/>
      <c r="N44" s="11"/>
    </row>
    <row r="45" spans="2:14" x14ac:dyDescent="0.3">
      <c r="B45" s="11"/>
      <c r="C45" s="11"/>
      <c r="D45" s="11"/>
      <c r="E45" s="11"/>
      <c r="F45" s="11"/>
      <c r="G45" s="11"/>
      <c r="H45" s="11"/>
      <c r="I45" s="11"/>
      <c r="J45" s="11"/>
      <c r="K45" s="11"/>
      <c r="L45" s="11"/>
      <c r="M45" s="11"/>
      <c r="N45" s="11"/>
    </row>
  </sheetData>
  <sheetProtection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sheetPr>
  <dimension ref="A1:Q62"/>
  <sheetViews>
    <sheetView zoomScale="120" zoomScaleNormal="120" workbookViewId="0">
      <pane xSplit="1" ySplit="4" topLeftCell="B5" activePane="bottomRight" state="frozen"/>
      <selection activeCell="A27" sqref="A27"/>
      <selection pane="topRight" activeCell="A27" sqref="A27"/>
      <selection pane="bottomLeft" activeCell="A27" sqref="A27"/>
      <selection pane="bottomRight" activeCell="B19" sqref="B19"/>
    </sheetView>
  </sheetViews>
  <sheetFormatPr defaultRowHeight="14.4" x14ac:dyDescent="0.3"/>
  <cols>
    <col min="1" max="1" width="34.109375" customWidth="1"/>
    <col min="2" max="17" width="8.5546875" customWidth="1"/>
  </cols>
  <sheetData>
    <row r="1" spans="1:17" x14ac:dyDescent="0.3">
      <c r="A1" s="28" t="s">
        <v>300</v>
      </c>
    </row>
    <row r="2" spans="1:17" ht="21" x14ac:dyDescent="0.4">
      <c r="A2" s="23" t="str">
        <f>CONCATENATE('1. Pelto'!E5,"n tuotantokustannuksen laskeminen")</f>
        <v>Ohran tuotantokustannuksen laskeminen</v>
      </c>
      <c r="B2" s="5"/>
      <c r="C2" s="5"/>
      <c r="D2" s="5"/>
      <c r="E2" s="5"/>
    </row>
    <row r="3" spans="1:17" x14ac:dyDescent="0.3">
      <c r="A3" s="1"/>
      <c r="B3" s="1"/>
      <c r="C3" s="1"/>
      <c r="D3" s="1"/>
      <c r="E3" s="1"/>
      <c r="F3" s="1"/>
      <c r="G3" s="1"/>
      <c r="H3" s="1"/>
      <c r="I3" s="1"/>
      <c r="J3" s="1"/>
      <c r="K3" s="1"/>
      <c r="L3" s="1"/>
      <c r="M3" s="1"/>
      <c r="N3" s="1"/>
      <c r="O3" s="1"/>
      <c r="P3" s="1"/>
      <c r="Q3" s="1"/>
    </row>
    <row r="4" spans="1:17" x14ac:dyDescent="0.3">
      <c r="A4" s="33" t="s">
        <v>46</v>
      </c>
      <c r="B4" s="282" t="s">
        <v>79</v>
      </c>
      <c r="C4" s="282"/>
      <c r="D4" s="282"/>
      <c r="E4" s="33"/>
      <c r="F4" s="281" t="s">
        <v>80</v>
      </c>
      <c r="G4" s="281"/>
      <c r="H4" s="281"/>
      <c r="I4" s="34"/>
      <c r="J4" s="281" t="s">
        <v>18</v>
      </c>
      <c r="K4" s="281"/>
      <c r="L4" s="281"/>
      <c r="M4" s="34"/>
      <c r="N4" s="281" t="s">
        <v>23</v>
      </c>
      <c r="O4" s="281"/>
      <c r="P4" s="281"/>
      <c r="Q4" s="34"/>
    </row>
    <row r="5" spans="1:17" s="16" customFormat="1" x14ac:dyDescent="0.3">
      <c r="A5" s="49" t="str">
        <f>CONCATENATE('1. Pelto'!E5,"n viljelyala yhteensä")</f>
        <v>Ohran viljelyala yhteensä</v>
      </c>
      <c r="B5" s="15" t="s">
        <v>66</v>
      </c>
      <c r="D5" s="25">
        <f>'1. Pelto'!E8</f>
        <v>60</v>
      </c>
      <c r="E5" s="49"/>
      <c r="F5" s="26"/>
      <c r="G5" s="26"/>
      <c r="H5" s="76">
        <v>1</v>
      </c>
      <c r="I5" s="77"/>
      <c r="J5" s="77"/>
      <c r="K5" s="77"/>
      <c r="L5" s="76">
        <f>H5</f>
        <v>1</v>
      </c>
      <c r="M5" s="26"/>
      <c r="N5" s="26"/>
      <c r="O5" s="26"/>
      <c r="P5" s="76">
        <f>L5</f>
        <v>1</v>
      </c>
      <c r="Q5" s="26"/>
    </row>
    <row r="6" spans="1:17" s="16" customFormat="1" x14ac:dyDescent="0.3">
      <c r="A6" s="49" t="s">
        <v>45</v>
      </c>
      <c r="B6" s="26"/>
      <c r="C6" s="26"/>
      <c r="D6" s="78" t="str">
        <f>'1. Pelto'!E40</f>
        <v>C2</v>
      </c>
      <c r="E6" s="49"/>
      <c r="F6" s="26"/>
      <c r="G6" s="26"/>
      <c r="H6" s="78" t="str">
        <f>D6</f>
        <v>C2</v>
      </c>
      <c r="I6" s="79"/>
      <c r="J6" s="79"/>
      <c r="K6" s="79"/>
      <c r="L6" s="78" t="str">
        <f>D6</f>
        <v>C2</v>
      </c>
      <c r="M6" s="79"/>
      <c r="N6" s="79"/>
      <c r="O6" s="79"/>
      <c r="P6" s="78" t="str">
        <f>L6</f>
        <v>C2</v>
      </c>
      <c r="Q6" s="79"/>
    </row>
    <row r="7" spans="1:17" s="16" customFormat="1" x14ac:dyDescent="0.3">
      <c r="A7" s="16" t="s">
        <v>148</v>
      </c>
      <c r="B7" s="75"/>
      <c r="D7" s="145">
        <v>0.04</v>
      </c>
      <c r="E7" s="87"/>
      <c r="F7" s="87"/>
      <c r="G7" s="226"/>
      <c r="H7" s="227">
        <f>D7</f>
        <v>0.04</v>
      </c>
      <c r="I7" s="226"/>
      <c r="J7" s="226"/>
      <c r="K7" s="226"/>
      <c r="L7" s="227">
        <f>D7</f>
        <v>0.04</v>
      </c>
      <c r="M7" s="226"/>
      <c r="N7" s="226"/>
      <c r="O7" s="226"/>
      <c r="P7" s="227">
        <f>D7</f>
        <v>0.04</v>
      </c>
      <c r="Q7" s="87"/>
    </row>
    <row r="8" spans="1:17" x14ac:dyDescent="0.3">
      <c r="A8" s="24" t="s">
        <v>355</v>
      </c>
      <c r="B8" s="25" t="s">
        <v>81</v>
      </c>
      <c r="D8" s="203">
        <f>'2. Sadon määrä'!I23</f>
        <v>294466.46746612841</v>
      </c>
      <c r="E8" s="221"/>
      <c r="F8" s="73"/>
      <c r="G8" s="73"/>
      <c r="H8" s="228">
        <f>D8/D5</f>
        <v>4907.7744577688072</v>
      </c>
      <c r="I8" s="229"/>
      <c r="J8" s="229"/>
      <c r="K8" s="229"/>
      <c r="L8" s="150">
        <f>H8*1.1</f>
        <v>5398.5519035456882</v>
      </c>
      <c r="M8" s="229"/>
      <c r="N8" s="229"/>
      <c r="O8" s="229"/>
      <c r="P8" s="150">
        <f>H8*1.2</f>
        <v>5889.3293493225683</v>
      </c>
      <c r="Q8" s="14"/>
    </row>
    <row r="9" spans="1:17" x14ac:dyDescent="0.3">
      <c r="A9" s="16" t="s">
        <v>395</v>
      </c>
      <c r="D9" s="254">
        <f>'2. Sadon määrä'!J23</f>
        <v>0.19918628069936262</v>
      </c>
      <c r="E9" s="221"/>
      <c r="F9" s="73"/>
      <c r="G9" s="73"/>
      <c r="H9" s="232">
        <f>D9</f>
        <v>0.19918628069936262</v>
      </c>
      <c r="I9" s="229"/>
      <c r="J9" s="229"/>
      <c r="K9" s="229"/>
      <c r="L9" s="231">
        <f>D9</f>
        <v>0.19918628069936262</v>
      </c>
      <c r="M9" s="229"/>
      <c r="N9" s="229"/>
      <c r="O9" s="229"/>
      <c r="P9" s="231">
        <f>D9</f>
        <v>0.19918628069936262</v>
      </c>
      <c r="Q9" s="14"/>
    </row>
    <row r="10" spans="1:17" x14ac:dyDescent="0.3">
      <c r="A10" s="11" t="str">
        <f>CONCATENATE("Sadon määrä ",C10," % kosteudessa, kg")</f>
        <v>Sadon määrä 14 % kosteudessa, kg</v>
      </c>
      <c r="B10" s="243" t="s">
        <v>81</v>
      </c>
      <c r="C10" s="244">
        <f>D11*100</f>
        <v>14.000000000000002</v>
      </c>
      <c r="D10" s="245">
        <f>D8*(1-D9)/(1-D11)</f>
        <v>274200.91514054703</v>
      </c>
      <c r="E10" s="20"/>
      <c r="F10" s="231" t="s">
        <v>82</v>
      </c>
      <c r="G10" s="230"/>
      <c r="H10" s="220">
        <f>D10/D5</f>
        <v>4570.0152523424504</v>
      </c>
      <c r="I10" s="20"/>
      <c r="J10" s="231" t="s">
        <v>82</v>
      </c>
      <c r="K10" s="230"/>
      <c r="L10" s="246">
        <f>L8*(1-L9)/(1-L11)</f>
        <v>5027.0167775766959</v>
      </c>
      <c r="M10" s="20"/>
      <c r="N10" s="231" t="s">
        <v>82</v>
      </c>
      <c r="O10" s="230"/>
      <c r="P10" s="246">
        <f>P8*(1-P9)/(1-P11)</f>
        <v>5484.0183028109404</v>
      </c>
      <c r="Q10" s="11"/>
    </row>
    <row r="11" spans="1:17" x14ac:dyDescent="0.3">
      <c r="A11" s="247" t="s">
        <v>396</v>
      </c>
      <c r="B11" s="247"/>
      <c r="C11" s="247"/>
      <c r="D11" s="248">
        <f>VLOOKUP('1. Pelto'!E5,Yhteenveto!B57:C63,2,0)</f>
        <v>0.14000000000000001</v>
      </c>
      <c r="E11" s="249"/>
      <c r="F11" s="249"/>
      <c r="G11" s="249"/>
      <c r="H11" s="250">
        <f>D11</f>
        <v>0.14000000000000001</v>
      </c>
      <c r="I11" s="251"/>
      <c r="J11" s="251"/>
      <c r="K11" s="251"/>
      <c r="L11" s="252">
        <f>D11</f>
        <v>0.14000000000000001</v>
      </c>
      <c r="M11" s="251"/>
      <c r="N11" s="251"/>
      <c r="O11" s="251"/>
      <c r="P11" s="252">
        <f>D11</f>
        <v>0.14000000000000001</v>
      </c>
      <c r="Q11" s="253"/>
    </row>
    <row r="12" spans="1:17" x14ac:dyDescent="0.3">
      <c r="A12" s="1"/>
      <c r="B12" s="1"/>
      <c r="C12" s="1"/>
      <c r="D12" s="1"/>
      <c r="E12" s="1"/>
    </row>
    <row r="13" spans="1:17" x14ac:dyDescent="0.3">
      <c r="A13" s="34" t="s">
        <v>16</v>
      </c>
      <c r="B13" s="35" t="s">
        <v>0</v>
      </c>
      <c r="C13" s="35" t="s">
        <v>1</v>
      </c>
      <c r="D13" s="35" t="s">
        <v>2</v>
      </c>
      <c r="E13" s="34"/>
      <c r="F13" s="35" t="s">
        <v>0</v>
      </c>
      <c r="G13" s="35" t="s">
        <v>1</v>
      </c>
      <c r="H13" s="35" t="s">
        <v>2</v>
      </c>
      <c r="I13" s="36"/>
      <c r="J13" s="35" t="s">
        <v>0</v>
      </c>
      <c r="K13" s="35" t="s">
        <v>1</v>
      </c>
      <c r="L13" s="35" t="s">
        <v>2</v>
      </c>
      <c r="M13" s="36"/>
      <c r="N13" s="35" t="s">
        <v>0</v>
      </c>
      <c r="O13" s="35" t="s">
        <v>1</v>
      </c>
      <c r="P13" s="35" t="s">
        <v>2</v>
      </c>
      <c r="Q13" s="36"/>
    </row>
    <row r="14" spans="1:17" x14ac:dyDescent="0.3">
      <c r="A14" s="73" t="s">
        <v>6</v>
      </c>
      <c r="B14" s="18">
        <f>D5</f>
        <v>60</v>
      </c>
      <c r="C14" s="48">
        <f>D14/B14</f>
        <v>573</v>
      </c>
      <c r="D14" s="18">
        <f>'1. Pelto'!E63</f>
        <v>34380</v>
      </c>
      <c r="F14" s="81">
        <f>B14/D5</f>
        <v>1</v>
      </c>
      <c r="G14" s="48">
        <f>C14</f>
        <v>573</v>
      </c>
      <c r="H14" s="14">
        <f>F14*G14</f>
        <v>573</v>
      </c>
      <c r="J14" s="147">
        <f>F14</f>
        <v>1</v>
      </c>
      <c r="K14" s="133">
        <f>G14</f>
        <v>573</v>
      </c>
      <c r="L14" s="14">
        <f>J14*K14</f>
        <v>573</v>
      </c>
      <c r="N14" s="147">
        <f>J14</f>
        <v>1</v>
      </c>
      <c r="O14" s="134">
        <f>G14</f>
        <v>573</v>
      </c>
      <c r="P14" s="14">
        <f>N14*O14</f>
        <v>573</v>
      </c>
    </row>
    <row r="15" spans="1:17" x14ac:dyDescent="0.3">
      <c r="A15" s="6" t="s">
        <v>63</v>
      </c>
      <c r="B15" s="139">
        <v>0</v>
      </c>
      <c r="C15" s="139">
        <v>40</v>
      </c>
      <c r="D15" s="19">
        <f>C15*B15</f>
        <v>0</v>
      </c>
      <c r="E15" s="6"/>
      <c r="F15" s="52">
        <f>B15/D5</f>
        <v>0</v>
      </c>
      <c r="G15" s="52">
        <f>C15</f>
        <v>40</v>
      </c>
      <c r="H15" s="19">
        <f>G15*F15</f>
        <v>0</v>
      </c>
      <c r="I15" s="6"/>
      <c r="J15" s="139">
        <f>F15</f>
        <v>0</v>
      </c>
      <c r="K15" s="139">
        <f>G15</f>
        <v>40</v>
      </c>
      <c r="L15" s="19">
        <f>K15*J15</f>
        <v>0</v>
      </c>
      <c r="M15" s="6"/>
      <c r="N15" s="139">
        <f>J15</f>
        <v>0</v>
      </c>
      <c r="O15" s="139">
        <f>K15</f>
        <v>40</v>
      </c>
      <c r="P15" s="19">
        <f>O15*N15</f>
        <v>0</v>
      </c>
      <c r="Q15" s="6"/>
    </row>
    <row r="16" spans="1:17" x14ac:dyDescent="0.3">
      <c r="A16" s="4" t="s">
        <v>3</v>
      </c>
      <c r="B16" s="4"/>
      <c r="C16" s="4"/>
      <c r="D16" s="39">
        <f>SUM(D14:D15)</f>
        <v>34380</v>
      </c>
      <c r="E16" s="4"/>
      <c r="F16" s="4"/>
      <c r="G16" s="4"/>
      <c r="H16" s="39">
        <f>SUM(H14:H15)</f>
        <v>573</v>
      </c>
      <c r="I16" s="4"/>
      <c r="J16" s="4"/>
      <c r="K16" s="4"/>
      <c r="L16" s="39">
        <f>SUM(L14:L15)</f>
        <v>573</v>
      </c>
      <c r="M16" s="4"/>
      <c r="N16" s="4"/>
      <c r="O16" s="4"/>
      <c r="P16" s="39">
        <f>SUM(P14:P15)</f>
        <v>573</v>
      </c>
      <c r="Q16" s="4"/>
    </row>
    <row r="18" spans="1:17" x14ac:dyDescent="0.3">
      <c r="A18" s="34" t="s">
        <v>193</v>
      </c>
      <c r="B18" s="35" t="s">
        <v>0</v>
      </c>
      <c r="C18" s="35" t="s">
        <v>1</v>
      </c>
      <c r="D18" s="35" t="s">
        <v>2</v>
      </c>
      <c r="E18" s="34"/>
      <c r="F18" s="35" t="s">
        <v>0</v>
      </c>
      <c r="G18" s="35" t="s">
        <v>1</v>
      </c>
      <c r="H18" s="35" t="s">
        <v>2</v>
      </c>
      <c r="I18" s="36"/>
      <c r="J18" s="35" t="s">
        <v>0</v>
      </c>
      <c r="K18" s="35" t="s">
        <v>1</v>
      </c>
      <c r="L18" s="35" t="s">
        <v>2</v>
      </c>
      <c r="M18" s="36"/>
      <c r="N18" s="35" t="s">
        <v>0</v>
      </c>
      <c r="O18" s="35" t="s">
        <v>1</v>
      </c>
      <c r="P18" s="35" t="s">
        <v>2</v>
      </c>
      <c r="Q18" s="36"/>
    </row>
    <row r="19" spans="1:17" x14ac:dyDescent="0.3">
      <c r="A19" t="s">
        <v>9</v>
      </c>
      <c r="B19" s="133">
        <f>D5*200</f>
        <v>12000</v>
      </c>
      <c r="C19" s="149">
        <v>0.15</v>
      </c>
      <c r="D19" s="14">
        <f>B19*C19</f>
        <v>1800</v>
      </c>
      <c r="E19" s="132"/>
      <c r="F19" s="47">
        <f>B19/D5</f>
        <v>200</v>
      </c>
      <c r="G19" s="47">
        <f>C19</f>
        <v>0.15</v>
      </c>
      <c r="H19" s="8">
        <f>D19/$D$5</f>
        <v>30</v>
      </c>
      <c r="I19" s="132"/>
      <c r="J19" s="148">
        <f>F19</f>
        <v>200</v>
      </c>
      <c r="K19" s="148">
        <f>G19</f>
        <v>0.15</v>
      </c>
      <c r="L19" s="8">
        <f t="shared" ref="L19:L33" si="0">J19*K19</f>
        <v>30</v>
      </c>
      <c r="M19" s="132"/>
      <c r="N19" s="148">
        <f>F19</f>
        <v>200</v>
      </c>
      <c r="O19" s="148">
        <f>G19</f>
        <v>0.15</v>
      </c>
      <c r="P19" s="8">
        <f t="shared" ref="P19:P33" si="1">N19*O19</f>
        <v>30</v>
      </c>
      <c r="Q19" s="132"/>
    </row>
    <row r="20" spans="1:17" x14ac:dyDescent="0.3">
      <c r="A20" t="s">
        <v>356</v>
      </c>
      <c r="B20" s="134">
        <f>B19/1000</f>
        <v>12</v>
      </c>
      <c r="C20" s="134">
        <v>10</v>
      </c>
      <c r="D20" s="14">
        <f>B20*C20</f>
        <v>120</v>
      </c>
      <c r="E20" s="132"/>
      <c r="F20" s="17">
        <f>B20/$D$5</f>
        <v>0.2</v>
      </c>
      <c r="G20" s="48">
        <f>H20/F20</f>
        <v>10</v>
      </c>
      <c r="H20" s="8">
        <f t="shared" ref="H20" si="2">D20/$D$5</f>
        <v>2</v>
      </c>
      <c r="I20" s="132"/>
      <c r="J20" s="149">
        <f t="shared" ref="J20" si="3">F20</f>
        <v>0.2</v>
      </c>
      <c r="K20" s="134">
        <f t="shared" ref="K20" si="4">G20</f>
        <v>10</v>
      </c>
      <c r="L20" s="8">
        <f t="shared" ref="L20" si="5">J20*K20</f>
        <v>2</v>
      </c>
      <c r="M20" s="132"/>
      <c r="N20" s="149">
        <f t="shared" ref="N20" si="6">F20</f>
        <v>0.2</v>
      </c>
      <c r="O20" s="134">
        <f t="shared" ref="O20" si="7">G20</f>
        <v>10</v>
      </c>
      <c r="P20" s="8">
        <f t="shared" ref="P20" si="8">N20*O20</f>
        <v>2</v>
      </c>
      <c r="Q20" s="132"/>
    </row>
    <row r="21" spans="1:17" x14ac:dyDescent="0.3">
      <c r="A21" t="s">
        <v>64</v>
      </c>
      <c r="B21" s="148">
        <f>D5*0.4</f>
        <v>24</v>
      </c>
      <c r="C21" s="134">
        <v>300</v>
      </c>
      <c r="D21" s="14">
        <f>B21*C21</f>
        <v>7200</v>
      </c>
      <c r="E21" s="132"/>
      <c r="F21" s="17">
        <f>B21/$D$5</f>
        <v>0.4</v>
      </c>
      <c r="G21" s="48">
        <f>H21/F21</f>
        <v>300</v>
      </c>
      <c r="H21" s="8">
        <f t="shared" ref="H21:H32" si="9">D21/$D$5</f>
        <v>120</v>
      </c>
      <c r="I21" s="132"/>
      <c r="J21" s="149">
        <f t="shared" ref="J21:J32" si="10">F21</f>
        <v>0.4</v>
      </c>
      <c r="K21" s="134">
        <f t="shared" ref="K21:K32" si="11">G21</f>
        <v>300</v>
      </c>
      <c r="L21" s="8">
        <f t="shared" si="0"/>
        <v>120</v>
      </c>
      <c r="M21" s="132"/>
      <c r="N21" s="149">
        <f t="shared" ref="N21:N32" si="12">F21</f>
        <v>0.4</v>
      </c>
      <c r="O21" s="134">
        <f t="shared" ref="O21:O32" si="13">G21</f>
        <v>300</v>
      </c>
      <c r="P21" s="8">
        <f t="shared" si="1"/>
        <v>120</v>
      </c>
      <c r="Q21" s="132"/>
    </row>
    <row r="22" spans="1:17" x14ac:dyDescent="0.3">
      <c r="A22" t="s">
        <v>65</v>
      </c>
      <c r="B22" s="148">
        <f>D5*0.1</f>
        <v>6</v>
      </c>
      <c r="C22" s="134">
        <v>450</v>
      </c>
      <c r="D22" s="14">
        <f t="shared" ref="D22:D32" si="14">B22*C22</f>
        <v>2700</v>
      </c>
      <c r="E22" s="132"/>
      <c r="F22" s="17">
        <f t="shared" ref="F22:F32" si="15">B22/$D$5</f>
        <v>0.1</v>
      </c>
      <c r="G22" s="48">
        <f t="shared" ref="G22:G30" si="16">H22/F22</f>
        <v>450</v>
      </c>
      <c r="H22" s="8">
        <f t="shared" si="9"/>
        <v>45</v>
      </c>
      <c r="I22" s="132"/>
      <c r="J22" s="149">
        <f t="shared" si="10"/>
        <v>0.1</v>
      </c>
      <c r="K22" s="134">
        <f t="shared" si="11"/>
        <v>450</v>
      </c>
      <c r="L22" s="8">
        <f t="shared" si="0"/>
        <v>45</v>
      </c>
      <c r="M22" s="132"/>
      <c r="N22" s="149">
        <f t="shared" si="12"/>
        <v>0.1</v>
      </c>
      <c r="O22" s="134">
        <f t="shared" si="13"/>
        <v>450</v>
      </c>
      <c r="P22" s="8">
        <f t="shared" si="1"/>
        <v>45</v>
      </c>
      <c r="Q22" s="132"/>
    </row>
    <row r="23" spans="1:17" x14ac:dyDescent="0.3">
      <c r="A23" t="s">
        <v>299</v>
      </c>
      <c r="B23" s="148">
        <v>1</v>
      </c>
      <c r="C23" s="134">
        <v>0</v>
      </c>
      <c r="D23" s="14">
        <f t="shared" ref="D23" si="17">B23*C23</f>
        <v>0</v>
      </c>
      <c r="E23" s="132"/>
      <c r="F23" s="17">
        <f t="shared" ref="F23" si="18">B23/$D$5</f>
        <v>1.6666666666666666E-2</v>
      </c>
      <c r="G23" s="48">
        <f>H23/F23</f>
        <v>0</v>
      </c>
      <c r="H23" s="8">
        <f t="shared" ref="H23" si="19">D23/$D$5</f>
        <v>0</v>
      </c>
      <c r="I23" s="132"/>
      <c r="J23" s="149">
        <f t="shared" ref="J23" si="20">F23</f>
        <v>1.6666666666666666E-2</v>
      </c>
      <c r="K23" s="134">
        <f t="shared" ref="K23" si="21">G23</f>
        <v>0</v>
      </c>
      <c r="L23" s="8">
        <f t="shared" ref="L23" si="22">J23*K23</f>
        <v>0</v>
      </c>
      <c r="M23" s="132"/>
      <c r="N23" s="149">
        <f t="shared" ref="N23" si="23">F23</f>
        <v>1.6666666666666666E-2</v>
      </c>
      <c r="O23" s="134">
        <f t="shared" ref="O23" si="24">G23</f>
        <v>0</v>
      </c>
      <c r="P23" s="8">
        <f t="shared" ref="P23" si="25">N23*O23</f>
        <v>0</v>
      </c>
      <c r="Q23" s="132"/>
    </row>
    <row r="24" spans="1:17" x14ac:dyDescent="0.3">
      <c r="A24" t="s">
        <v>361</v>
      </c>
      <c r="B24" s="146">
        <f>D5</f>
        <v>60</v>
      </c>
      <c r="C24" s="134">
        <v>5</v>
      </c>
      <c r="D24" s="14">
        <f t="shared" si="14"/>
        <v>300</v>
      </c>
      <c r="E24" s="132"/>
      <c r="F24" s="47">
        <f t="shared" si="15"/>
        <v>1</v>
      </c>
      <c r="G24" s="17">
        <f t="shared" si="16"/>
        <v>5</v>
      </c>
      <c r="H24" s="8">
        <f t="shared" si="9"/>
        <v>5</v>
      </c>
      <c r="I24" s="132"/>
      <c r="J24" s="222">
        <f t="shared" si="10"/>
        <v>1</v>
      </c>
      <c r="K24" s="149">
        <f t="shared" si="11"/>
        <v>5</v>
      </c>
      <c r="L24" s="8">
        <f t="shared" si="0"/>
        <v>5</v>
      </c>
      <c r="M24" s="132"/>
      <c r="N24" s="146">
        <f t="shared" si="12"/>
        <v>1</v>
      </c>
      <c r="O24" s="149">
        <f t="shared" si="13"/>
        <v>5</v>
      </c>
      <c r="P24" s="8">
        <f t="shared" si="1"/>
        <v>5</v>
      </c>
      <c r="Q24" s="132"/>
    </row>
    <row r="25" spans="1:17" x14ac:dyDescent="0.3">
      <c r="A25" t="s">
        <v>357</v>
      </c>
      <c r="B25" s="134">
        <f>D5</f>
        <v>60</v>
      </c>
      <c r="C25" s="137">
        <v>15</v>
      </c>
      <c r="D25" s="14">
        <f t="shared" si="14"/>
        <v>900</v>
      </c>
      <c r="E25" s="132"/>
      <c r="F25" s="17">
        <f t="shared" si="15"/>
        <v>1</v>
      </c>
      <c r="G25" s="48">
        <f t="shared" si="16"/>
        <v>15</v>
      </c>
      <c r="H25" s="8">
        <f t="shared" si="9"/>
        <v>15</v>
      </c>
      <c r="I25" s="132"/>
      <c r="J25" s="149">
        <f t="shared" si="10"/>
        <v>1</v>
      </c>
      <c r="K25" s="134">
        <f t="shared" si="11"/>
        <v>15</v>
      </c>
      <c r="L25" s="8">
        <f t="shared" si="0"/>
        <v>15</v>
      </c>
      <c r="M25" s="132"/>
      <c r="N25" s="149">
        <f t="shared" si="12"/>
        <v>1</v>
      </c>
      <c r="O25" s="134">
        <f t="shared" si="13"/>
        <v>15</v>
      </c>
      <c r="P25" s="8">
        <f t="shared" si="1"/>
        <v>15</v>
      </c>
      <c r="Q25" s="132"/>
    </row>
    <row r="26" spans="1:17" x14ac:dyDescent="0.3">
      <c r="A26" t="s">
        <v>358</v>
      </c>
      <c r="B26" s="134">
        <f>D5</f>
        <v>60</v>
      </c>
      <c r="C26" s="137">
        <v>20</v>
      </c>
      <c r="D26" s="14">
        <f t="shared" ref="D26:D28" si="26">B26*C26</f>
        <v>1200</v>
      </c>
      <c r="E26" s="132"/>
      <c r="F26" s="17">
        <f t="shared" ref="F26:F28" si="27">B26/$D$5</f>
        <v>1</v>
      </c>
      <c r="G26" s="48">
        <f t="shared" ref="G26:G28" si="28">H26/F26</f>
        <v>20</v>
      </c>
      <c r="H26" s="8">
        <f t="shared" ref="H26:H28" si="29">D26/$D$5</f>
        <v>20</v>
      </c>
      <c r="I26" s="132"/>
      <c r="J26" s="149">
        <f t="shared" ref="J26:J28" si="30">F26</f>
        <v>1</v>
      </c>
      <c r="K26" s="134">
        <f t="shared" ref="K26:K28" si="31">G26</f>
        <v>20</v>
      </c>
      <c r="L26" s="8">
        <f t="shared" ref="L26:L28" si="32">J26*K26</f>
        <v>20</v>
      </c>
      <c r="M26" s="132"/>
      <c r="N26" s="149">
        <f t="shared" ref="N26:N28" si="33">F26</f>
        <v>1</v>
      </c>
      <c r="O26" s="134">
        <f t="shared" ref="O26:O28" si="34">G26</f>
        <v>20</v>
      </c>
      <c r="P26" s="8">
        <f t="shared" ref="P26:P28" si="35">N26*O26</f>
        <v>20</v>
      </c>
      <c r="Q26" s="132"/>
    </row>
    <row r="27" spans="1:17" x14ac:dyDescent="0.3">
      <c r="A27" t="s">
        <v>359</v>
      </c>
      <c r="B27" s="134">
        <f>D5</f>
        <v>60</v>
      </c>
      <c r="C27" s="137">
        <v>0</v>
      </c>
      <c r="D27" s="14">
        <f t="shared" si="26"/>
        <v>0</v>
      </c>
      <c r="E27" s="132"/>
      <c r="F27" s="17">
        <f t="shared" si="27"/>
        <v>1</v>
      </c>
      <c r="G27" s="48">
        <f t="shared" si="28"/>
        <v>0</v>
      </c>
      <c r="H27" s="8">
        <f t="shared" si="29"/>
        <v>0</v>
      </c>
      <c r="I27" s="132"/>
      <c r="J27" s="149">
        <f t="shared" si="30"/>
        <v>1</v>
      </c>
      <c r="K27" s="134">
        <f t="shared" si="31"/>
        <v>0</v>
      </c>
      <c r="L27" s="8">
        <f t="shared" si="32"/>
        <v>0</v>
      </c>
      <c r="M27" s="132"/>
      <c r="N27" s="149">
        <f t="shared" si="33"/>
        <v>1</v>
      </c>
      <c r="O27" s="134">
        <f t="shared" si="34"/>
        <v>0</v>
      </c>
      <c r="P27" s="8">
        <f t="shared" si="35"/>
        <v>0</v>
      </c>
      <c r="Q27" s="132"/>
    </row>
    <row r="28" spans="1:17" x14ac:dyDescent="0.3">
      <c r="A28" t="s">
        <v>360</v>
      </c>
      <c r="B28" s="134">
        <f>D5</f>
        <v>60</v>
      </c>
      <c r="C28" s="137">
        <v>10</v>
      </c>
      <c r="D28" s="14">
        <f t="shared" si="26"/>
        <v>600</v>
      </c>
      <c r="E28" s="132"/>
      <c r="F28" s="17">
        <f t="shared" si="27"/>
        <v>1</v>
      </c>
      <c r="G28" s="48">
        <f t="shared" si="28"/>
        <v>10</v>
      </c>
      <c r="H28" s="8">
        <f t="shared" si="29"/>
        <v>10</v>
      </c>
      <c r="I28" s="132"/>
      <c r="J28" s="149">
        <f t="shared" si="30"/>
        <v>1</v>
      </c>
      <c r="K28" s="134">
        <f t="shared" si="31"/>
        <v>10</v>
      </c>
      <c r="L28" s="8">
        <f t="shared" si="32"/>
        <v>10</v>
      </c>
      <c r="M28" s="132"/>
      <c r="N28" s="149">
        <f t="shared" si="33"/>
        <v>1</v>
      </c>
      <c r="O28" s="134">
        <f t="shared" si="34"/>
        <v>10</v>
      </c>
      <c r="P28" s="8">
        <f t="shared" si="35"/>
        <v>10</v>
      </c>
      <c r="Q28" s="132"/>
    </row>
    <row r="29" spans="1:17" x14ac:dyDescent="0.3">
      <c r="A29" t="s">
        <v>4</v>
      </c>
      <c r="B29" s="134">
        <f>D5/4*4.5</f>
        <v>67.5</v>
      </c>
      <c r="C29" s="137">
        <v>42</v>
      </c>
      <c r="D29" s="14">
        <f t="shared" si="14"/>
        <v>2835</v>
      </c>
      <c r="E29" s="132"/>
      <c r="F29" s="17">
        <f t="shared" si="15"/>
        <v>1.125</v>
      </c>
      <c r="G29" s="48">
        <f t="shared" si="16"/>
        <v>42</v>
      </c>
      <c r="H29" s="8">
        <f t="shared" si="9"/>
        <v>47.25</v>
      </c>
      <c r="I29" s="132"/>
      <c r="J29" s="149">
        <f t="shared" si="10"/>
        <v>1.125</v>
      </c>
      <c r="K29" s="134">
        <f t="shared" si="11"/>
        <v>42</v>
      </c>
      <c r="L29" s="8">
        <f t="shared" si="0"/>
        <v>47.25</v>
      </c>
      <c r="M29" s="132"/>
      <c r="N29" s="149">
        <f t="shared" si="12"/>
        <v>1.125</v>
      </c>
      <c r="O29" s="134">
        <f t="shared" si="13"/>
        <v>42</v>
      </c>
      <c r="P29" s="8">
        <f t="shared" si="1"/>
        <v>47.25</v>
      </c>
      <c r="Q29" s="132"/>
    </row>
    <row r="30" spans="1:17" x14ac:dyDescent="0.3">
      <c r="A30" t="s">
        <v>227</v>
      </c>
      <c r="B30" s="134">
        <v>1</v>
      </c>
      <c r="C30" s="133">
        <v>2000</v>
      </c>
      <c r="D30" s="14">
        <f t="shared" si="14"/>
        <v>2000</v>
      </c>
      <c r="E30" s="132"/>
      <c r="F30" s="17">
        <f t="shared" si="15"/>
        <v>1.6666666666666666E-2</v>
      </c>
      <c r="G30" s="48">
        <f t="shared" si="16"/>
        <v>2000.0000000000002</v>
      </c>
      <c r="H30" s="8">
        <f t="shared" si="9"/>
        <v>33.333333333333336</v>
      </c>
      <c r="I30" s="132"/>
      <c r="J30" s="149">
        <f t="shared" si="10"/>
        <v>1.6666666666666666E-2</v>
      </c>
      <c r="K30" s="134">
        <f t="shared" si="11"/>
        <v>2000.0000000000002</v>
      </c>
      <c r="L30" s="8">
        <f>J30*K30</f>
        <v>33.333333333333336</v>
      </c>
      <c r="M30" s="132"/>
      <c r="N30" s="149">
        <f t="shared" si="12"/>
        <v>1.6666666666666666E-2</v>
      </c>
      <c r="O30" s="134">
        <f t="shared" si="13"/>
        <v>2000.0000000000002</v>
      </c>
      <c r="P30" s="8">
        <f>N30*O30</f>
        <v>33.333333333333336</v>
      </c>
      <c r="Q30" s="132"/>
    </row>
    <row r="31" spans="1:17" x14ac:dyDescent="0.3">
      <c r="A31" t="s">
        <v>362</v>
      </c>
      <c r="B31" s="134">
        <f>D8/1000*5</f>
        <v>1472.3323373306421</v>
      </c>
      <c r="C31" s="223">
        <v>0</v>
      </c>
      <c r="D31" s="14">
        <f t="shared" si="14"/>
        <v>0</v>
      </c>
      <c r="E31" s="132"/>
      <c r="F31" s="17">
        <f t="shared" ref="F31" si="36">B31/$D$5</f>
        <v>24.538872288844036</v>
      </c>
      <c r="G31" s="48">
        <f t="shared" ref="G31" si="37">H31/F31</f>
        <v>0</v>
      </c>
      <c r="H31" s="8">
        <f t="shared" ref="H31" si="38">D31/$D$5</f>
        <v>0</v>
      </c>
      <c r="I31" s="132"/>
      <c r="J31" s="149">
        <f t="shared" ref="J31" si="39">F31</f>
        <v>24.538872288844036</v>
      </c>
      <c r="K31" s="134">
        <f t="shared" ref="K31" si="40">G31</f>
        <v>0</v>
      </c>
      <c r="L31" s="8">
        <f>J31*K31</f>
        <v>0</v>
      </c>
      <c r="M31" s="132"/>
      <c r="N31" s="149">
        <f t="shared" ref="N31" si="41">F31</f>
        <v>24.538872288844036</v>
      </c>
      <c r="O31" s="134">
        <f t="shared" ref="O31" si="42">G31</f>
        <v>0</v>
      </c>
      <c r="P31" s="8">
        <f>N31*O31</f>
        <v>0</v>
      </c>
      <c r="Q31" s="132"/>
    </row>
    <row r="32" spans="1:17" x14ac:dyDescent="0.3">
      <c r="A32" s="20" t="s">
        <v>21</v>
      </c>
      <c r="B32" s="150">
        <f>D5</f>
        <v>60</v>
      </c>
      <c r="C32" s="151">
        <v>20</v>
      </c>
      <c r="D32" s="45">
        <f t="shared" si="14"/>
        <v>1200</v>
      </c>
      <c r="E32" s="154"/>
      <c r="F32" s="157">
        <f t="shared" si="15"/>
        <v>1</v>
      </c>
      <c r="G32" s="48">
        <f>H32/F32</f>
        <v>20</v>
      </c>
      <c r="H32" s="12">
        <f t="shared" si="9"/>
        <v>20</v>
      </c>
      <c r="I32" s="132"/>
      <c r="J32" s="158">
        <f t="shared" si="10"/>
        <v>1</v>
      </c>
      <c r="K32" s="134">
        <f t="shared" si="11"/>
        <v>20</v>
      </c>
      <c r="L32" s="12">
        <f t="shared" si="0"/>
        <v>20</v>
      </c>
      <c r="M32" s="132"/>
      <c r="N32" s="158">
        <f t="shared" si="12"/>
        <v>1</v>
      </c>
      <c r="O32" s="134">
        <f t="shared" si="13"/>
        <v>20</v>
      </c>
      <c r="P32" s="12">
        <f t="shared" si="1"/>
        <v>20</v>
      </c>
      <c r="Q32" s="132"/>
    </row>
    <row r="33" spans="1:17" x14ac:dyDescent="0.3">
      <c r="A33" s="6" t="s">
        <v>7</v>
      </c>
      <c r="B33" s="152">
        <f>(SUM(D19:D32)+D41+D42+D45)*0.4</f>
        <v>13282.5</v>
      </c>
      <c r="C33" s="153">
        <f>D7</f>
        <v>0.04</v>
      </c>
      <c r="D33" s="19">
        <f>B33*C33</f>
        <v>531.29999999999995</v>
      </c>
      <c r="E33" s="155"/>
      <c r="F33" s="50">
        <f>B33/$D$5</f>
        <v>221.375</v>
      </c>
      <c r="G33" s="51">
        <f>H33/F33</f>
        <v>3.9999999999999994E-2</v>
      </c>
      <c r="H33" s="10">
        <f>D33/$D$5</f>
        <v>8.8549999999999986</v>
      </c>
      <c r="I33" s="155"/>
      <c r="J33" s="152">
        <f>(SUM(L19:L32)+L41+L42+L45)*0.4</f>
        <v>221.375</v>
      </c>
      <c r="K33" s="153">
        <f>L7</f>
        <v>0.04</v>
      </c>
      <c r="L33" s="10">
        <f t="shared" si="0"/>
        <v>8.8550000000000004</v>
      </c>
      <c r="M33" s="155"/>
      <c r="N33" s="152">
        <f>(SUM(P19:P32)+P41+P42+P45)*0.4</f>
        <v>221.375</v>
      </c>
      <c r="O33" s="153">
        <f>P7</f>
        <v>0.04</v>
      </c>
      <c r="P33" s="10">
        <f t="shared" si="1"/>
        <v>8.8550000000000004</v>
      </c>
      <c r="Q33" s="155"/>
    </row>
    <row r="34" spans="1:17" x14ac:dyDescent="0.3">
      <c r="A34" s="1" t="s">
        <v>8</v>
      </c>
      <c r="B34" s="156"/>
      <c r="C34" s="156"/>
      <c r="D34" s="46">
        <f>SUM(D19:D33)</f>
        <v>21386.3</v>
      </c>
      <c r="E34" s="156"/>
      <c r="F34" s="26"/>
      <c r="G34" s="26"/>
      <c r="H34" s="13">
        <f>SUM(H19:H33)</f>
        <v>356.43833333333333</v>
      </c>
      <c r="I34" s="132"/>
      <c r="J34" s="156"/>
      <c r="K34" s="156"/>
      <c r="L34" s="13">
        <f>SUM(L19:L33)</f>
        <v>356.43833333333333</v>
      </c>
      <c r="M34" s="132"/>
      <c r="N34" s="156"/>
      <c r="O34" s="156"/>
      <c r="P34" s="13">
        <f>SUM(P19:P33)</f>
        <v>356.43833333333333</v>
      </c>
      <c r="Q34" s="132"/>
    </row>
    <row r="35" spans="1:17" x14ac:dyDescent="0.3">
      <c r="A35" s="11"/>
      <c r="B35" s="11"/>
      <c r="C35" s="11"/>
      <c r="D35" s="12"/>
      <c r="E35" s="11"/>
      <c r="F35" s="15"/>
      <c r="G35" s="15"/>
      <c r="H35" s="12"/>
      <c r="J35" s="11"/>
      <c r="K35" s="11"/>
      <c r="L35" s="12"/>
      <c r="N35" s="11"/>
      <c r="O35" s="11"/>
      <c r="P35" s="12"/>
    </row>
    <row r="36" spans="1:17" x14ac:dyDescent="0.3">
      <c r="A36" s="34" t="s">
        <v>186</v>
      </c>
      <c r="B36" s="35" t="s">
        <v>0</v>
      </c>
      <c r="C36" s="35" t="s">
        <v>1</v>
      </c>
      <c r="D36" s="43" t="s">
        <v>2</v>
      </c>
      <c r="E36" s="34"/>
      <c r="F36" s="44" t="s">
        <v>0</v>
      </c>
      <c r="G36" s="44" t="s">
        <v>1</v>
      </c>
      <c r="H36" s="43" t="s">
        <v>2</v>
      </c>
      <c r="I36" s="36"/>
      <c r="J36" s="35" t="s">
        <v>0</v>
      </c>
      <c r="K36" s="35" t="s">
        <v>1</v>
      </c>
      <c r="L36" s="43" t="s">
        <v>2</v>
      </c>
      <c r="M36" s="36"/>
      <c r="N36" s="35" t="s">
        <v>0</v>
      </c>
      <c r="O36" s="35" t="s">
        <v>1</v>
      </c>
      <c r="P36" s="43" t="s">
        <v>2</v>
      </c>
      <c r="Q36" s="36"/>
    </row>
    <row r="37" spans="1:17" x14ac:dyDescent="0.3">
      <c r="A37" s="11" t="s">
        <v>178</v>
      </c>
      <c r="B37" s="159">
        <f>'6. Työmenekki'!F25</f>
        <v>534</v>
      </c>
      <c r="C37" s="159">
        <v>17.8</v>
      </c>
      <c r="D37" s="45">
        <f>B37*C37</f>
        <v>9505.2000000000007</v>
      </c>
      <c r="E37" s="138"/>
      <c r="F37" s="15">
        <f t="shared" ref="F37:F45" si="43">B37/$D$5</f>
        <v>8.9</v>
      </c>
      <c r="G37" s="15">
        <f t="shared" ref="G37:G45" si="44">H37/F37</f>
        <v>17.8</v>
      </c>
      <c r="H37" s="12">
        <f t="shared" ref="H37:H45" si="45">D37/$D$5</f>
        <v>158.42000000000002</v>
      </c>
      <c r="I37" s="132"/>
      <c r="J37" s="165">
        <f t="shared" ref="J37:K45" si="46">F37</f>
        <v>8.9</v>
      </c>
      <c r="K37" s="159">
        <f t="shared" si="46"/>
        <v>17.8</v>
      </c>
      <c r="L37" s="12">
        <f t="shared" ref="L37:L45" si="47">J37*K37</f>
        <v>158.42000000000002</v>
      </c>
      <c r="M37" s="132"/>
      <c r="N37" s="165">
        <f t="shared" ref="N37:O42" si="48">J37</f>
        <v>8.9</v>
      </c>
      <c r="O37" s="159">
        <f t="shared" si="48"/>
        <v>17.8</v>
      </c>
      <c r="P37" s="12">
        <f t="shared" ref="P37:P45" si="49">N37*O37</f>
        <v>158.42000000000002</v>
      </c>
    </row>
    <row r="38" spans="1:17" x14ac:dyDescent="0.3">
      <c r="A38" s="11" t="s">
        <v>10</v>
      </c>
      <c r="B38" s="159">
        <f>'6. Työmenekki'!F24</f>
        <v>60</v>
      </c>
      <c r="C38" s="159">
        <v>20</v>
      </c>
      <c r="D38" s="45">
        <f>B38*C38</f>
        <v>1200</v>
      </c>
      <c r="E38" s="138"/>
      <c r="F38" s="7">
        <f t="shared" si="43"/>
        <v>1</v>
      </c>
      <c r="G38" s="15">
        <f t="shared" si="44"/>
        <v>20</v>
      </c>
      <c r="H38" s="12">
        <f t="shared" si="45"/>
        <v>20</v>
      </c>
      <c r="I38" s="138"/>
      <c r="J38" s="168">
        <f t="shared" si="46"/>
        <v>1</v>
      </c>
      <c r="K38" s="159">
        <f t="shared" si="46"/>
        <v>20</v>
      </c>
      <c r="L38" s="12">
        <f t="shared" si="47"/>
        <v>20</v>
      </c>
      <c r="M38" s="138"/>
      <c r="N38" s="168">
        <f t="shared" si="48"/>
        <v>1</v>
      </c>
      <c r="O38" s="159">
        <f t="shared" si="48"/>
        <v>20</v>
      </c>
      <c r="P38" s="12">
        <f t="shared" si="49"/>
        <v>20</v>
      </c>
      <c r="Q38" s="11"/>
    </row>
    <row r="39" spans="1:17" x14ac:dyDescent="0.3">
      <c r="A39" s="90" t="s">
        <v>184</v>
      </c>
      <c r="B39" s="160">
        <v>1</v>
      </c>
      <c r="C39" s="161">
        <v>0.2</v>
      </c>
      <c r="D39" s="92">
        <f>C39*D45</f>
        <v>0</v>
      </c>
      <c r="E39" s="160"/>
      <c r="F39" s="169">
        <f t="shared" si="43"/>
        <v>1.6666666666666666E-2</v>
      </c>
      <c r="G39" s="170">
        <f t="shared" si="44"/>
        <v>0</v>
      </c>
      <c r="H39" s="171">
        <f t="shared" si="45"/>
        <v>0</v>
      </c>
      <c r="I39" s="172"/>
      <c r="J39" s="173">
        <f t="shared" si="46"/>
        <v>1.6666666666666666E-2</v>
      </c>
      <c r="K39" s="174">
        <f t="shared" si="46"/>
        <v>0</v>
      </c>
      <c r="L39" s="175">
        <f t="shared" si="47"/>
        <v>0</v>
      </c>
      <c r="M39" s="172"/>
      <c r="N39" s="173">
        <f t="shared" si="48"/>
        <v>1.6666666666666666E-2</v>
      </c>
      <c r="O39" s="174">
        <f t="shared" si="48"/>
        <v>0</v>
      </c>
      <c r="P39" s="175">
        <f t="shared" si="49"/>
        <v>0</v>
      </c>
      <c r="Q39" s="91"/>
    </row>
    <row r="40" spans="1:17" x14ac:dyDescent="0.3">
      <c r="A40" s="2" t="s">
        <v>179</v>
      </c>
      <c r="B40" s="137">
        <v>1</v>
      </c>
      <c r="C40" s="133">
        <f>'3. Koneet'!Q4</f>
        <v>16186.999999999996</v>
      </c>
      <c r="D40" s="14">
        <f t="shared" ref="D40:D45" si="50">B40*C40</f>
        <v>16186.999999999996</v>
      </c>
      <c r="E40" s="164"/>
      <c r="F40" s="93">
        <f t="shared" si="43"/>
        <v>1.6666666666666666E-2</v>
      </c>
      <c r="G40" s="25">
        <f t="shared" si="44"/>
        <v>16186.999999999995</v>
      </c>
      <c r="H40" s="12">
        <f t="shared" si="45"/>
        <v>269.78333333333325</v>
      </c>
      <c r="I40" s="132"/>
      <c r="J40" s="149">
        <f t="shared" si="46"/>
        <v>1.6666666666666666E-2</v>
      </c>
      <c r="K40" s="133">
        <f t="shared" si="46"/>
        <v>16186.999999999995</v>
      </c>
      <c r="L40" s="8">
        <f t="shared" si="47"/>
        <v>269.78333333333325</v>
      </c>
      <c r="M40" s="132"/>
      <c r="N40" s="149">
        <f t="shared" si="48"/>
        <v>1.6666666666666666E-2</v>
      </c>
      <c r="O40" s="133">
        <f t="shared" si="48"/>
        <v>16186.999999999995</v>
      </c>
      <c r="P40" s="8">
        <f t="shared" si="49"/>
        <v>269.78333333333325</v>
      </c>
    </row>
    <row r="41" spans="1:17" x14ac:dyDescent="0.3">
      <c r="A41" s="88" t="s">
        <v>163</v>
      </c>
      <c r="B41" s="137">
        <v>1</v>
      </c>
      <c r="C41" s="146">
        <f>'3. Koneet'!V4</f>
        <v>7071.25</v>
      </c>
      <c r="D41" s="14">
        <f t="shared" si="50"/>
        <v>7071.25</v>
      </c>
      <c r="E41" s="138"/>
      <c r="F41" s="93">
        <f t="shared" si="43"/>
        <v>1.6666666666666666E-2</v>
      </c>
      <c r="G41" s="25">
        <f t="shared" si="44"/>
        <v>7071.25</v>
      </c>
      <c r="H41" s="12">
        <f t="shared" si="45"/>
        <v>117.85416666666667</v>
      </c>
      <c r="I41" s="138"/>
      <c r="J41" s="149">
        <f t="shared" si="46"/>
        <v>1.6666666666666666E-2</v>
      </c>
      <c r="K41" s="133">
        <f t="shared" si="46"/>
        <v>7071.25</v>
      </c>
      <c r="L41" s="8">
        <f t="shared" si="47"/>
        <v>117.85416666666667</v>
      </c>
      <c r="M41" s="138"/>
      <c r="N41" s="149">
        <f t="shared" si="48"/>
        <v>1.6666666666666666E-2</v>
      </c>
      <c r="O41" s="133">
        <f t="shared" si="48"/>
        <v>7071.25</v>
      </c>
      <c r="P41" s="8">
        <f t="shared" si="49"/>
        <v>117.85416666666667</v>
      </c>
      <c r="Q41" s="11"/>
    </row>
    <row r="42" spans="1:17" x14ac:dyDescent="0.3">
      <c r="A42" s="11" t="s">
        <v>364</v>
      </c>
      <c r="B42" s="133">
        <f>D5*110</f>
        <v>6600</v>
      </c>
      <c r="C42" s="202">
        <v>0.8</v>
      </c>
      <c r="D42" s="45">
        <f t="shared" si="50"/>
        <v>5280</v>
      </c>
      <c r="E42" s="138"/>
      <c r="F42" s="95">
        <f t="shared" si="43"/>
        <v>110</v>
      </c>
      <c r="G42" s="93">
        <f t="shared" si="44"/>
        <v>0.8</v>
      </c>
      <c r="H42" s="12">
        <f t="shared" si="45"/>
        <v>88</v>
      </c>
      <c r="I42" s="132"/>
      <c r="J42" s="134">
        <f t="shared" si="46"/>
        <v>110</v>
      </c>
      <c r="K42" s="149">
        <f t="shared" si="46"/>
        <v>0.8</v>
      </c>
      <c r="L42" s="12">
        <f t="shared" si="47"/>
        <v>88</v>
      </c>
      <c r="M42" s="132"/>
      <c r="N42" s="134">
        <f t="shared" si="48"/>
        <v>110</v>
      </c>
      <c r="O42" s="147">
        <f t="shared" si="48"/>
        <v>0.8</v>
      </c>
      <c r="P42" s="12">
        <f t="shared" si="49"/>
        <v>88</v>
      </c>
    </row>
    <row r="43" spans="1:17" x14ac:dyDescent="0.3">
      <c r="A43" s="20" t="s">
        <v>363</v>
      </c>
      <c r="B43" s="133">
        <f>D8/1000</f>
        <v>294.46646746612839</v>
      </c>
      <c r="C43" s="131">
        <v>35</v>
      </c>
      <c r="D43" s="45">
        <f t="shared" si="50"/>
        <v>10306.326361314494</v>
      </c>
      <c r="E43" s="138"/>
      <c r="F43" s="95">
        <f t="shared" ref="F43" si="51">B43/$D$5</f>
        <v>4.9077744577688067</v>
      </c>
      <c r="G43" s="95">
        <f t="shared" ref="G43" si="52">H43/F43</f>
        <v>35</v>
      </c>
      <c r="H43" s="12">
        <f t="shared" ref="H43" si="53">D43/$D$5</f>
        <v>171.77210602190823</v>
      </c>
      <c r="I43" s="132"/>
      <c r="J43" s="134">
        <f t="shared" ref="J43" si="54">F43</f>
        <v>4.9077744577688067</v>
      </c>
      <c r="K43" s="134">
        <f t="shared" ref="K43" si="55">G43</f>
        <v>35</v>
      </c>
      <c r="L43" s="12">
        <f t="shared" ref="L43" si="56">J43*K43</f>
        <v>171.77210602190823</v>
      </c>
      <c r="M43" s="132"/>
      <c r="N43" s="134">
        <f t="shared" ref="N43" si="57">J43</f>
        <v>4.9077744577688067</v>
      </c>
      <c r="O43" s="133">
        <f t="shared" ref="O43" si="58">K43</f>
        <v>35</v>
      </c>
      <c r="P43" s="12">
        <f t="shared" ref="P43" si="59">N43*O43</f>
        <v>171.77210602190823</v>
      </c>
    </row>
    <row r="44" spans="1:17" x14ac:dyDescent="0.3">
      <c r="A44" s="20" t="s">
        <v>303</v>
      </c>
      <c r="B44" s="133">
        <v>1</v>
      </c>
      <c r="C44" s="131">
        <v>0</v>
      </c>
      <c r="D44" s="45">
        <f t="shared" si="50"/>
        <v>0</v>
      </c>
      <c r="E44" s="138"/>
      <c r="F44" s="93">
        <f t="shared" ref="F44" si="60">B44/$D$5</f>
        <v>1.6666666666666666E-2</v>
      </c>
      <c r="G44" s="95">
        <f t="shared" ref="G44" si="61">H44/F44</f>
        <v>0</v>
      </c>
      <c r="H44" s="12">
        <f t="shared" ref="H44" si="62">D44/$D$5</f>
        <v>0</v>
      </c>
      <c r="I44" s="132"/>
      <c r="J44" s="149">
        <f t="shared" ref="J44" si="63">F44</f>
        <v>1.6666666666666666E-2</v>
      </c>
      <c r="K44" s="134">
        <f t="shared" ref="K44" si="64">G44</f>
        <v>0</v>
      </c>
      <c r="L44" s="12">
        <f t="shared" ref="L44" si="65">J44*K44</f>
        <v>0</v>
      </c>
      <c r="M44" s="132"/>
      <c r="N44" s="149">
        <f t="shared" ref="N44" si="66">J44</f>
        <v>1.6666666666666666E-2</v>
      </c>
      <c r="O44" s="133">
        <f t="shared" ref="O44" si="67">K44</f>
        <v>0</v>
      </c>
      <c r="P44" s="12">
        <f t="shared" ref="P44" si="68">N44*O44</f>
        <v>0</v>
      </c>
    </row>
    <row r="45" spans="1:17" x14ac:dyDescent="0.3">
      <c r="A45" s="6" t="s">
        <v>78</v>
      </c>
      <c r="B45" s="152">
        <v>1</v>
      </c>
      <c r="C45" s="152">
        <f>'4. Urakointi'!F19</f>
        <v>0</v>
      </c>
      <c r="D45" s="19">
        <f t="shared" si="50"/>
        <v>0</v>
      </c>
      <c r="E45" s="155"/>
      <c r="F45" s="94">
        <f t="shared" si="43"/>
        <v>1.6666666666666666E-2</v>
      </c>
      <c r="G45" s="52">
        <f t="shared" si="44"/>
        <v>0</v>
      </c>
      <c r="H45" s="10">
        <f t="shared" si="45"/>
        <v>0</v>
      </c>
      <c r="I45" s="155"/>
      <c r="J45" s="183">
        <f t="shared" si="46"/>
        <v>1.6666666666666666E-2</v>
      </c>
      <c r="K45" s="166">
        <f t="shared" si="46"/>
        <v>0</v>
      </c>
      <c r="L45" s="10">
        <f t="shared" si="47"/>
        <v>0</v>
      </c>
      <c r="M45" s="155"/>
      <c r="N45" s="183">
        <f>F45</f>
        <v>1.6666666666666666E-2</v>
      </c>
      <c r="O45" s="166">
        <f>G45</f>
        <v>0</v>
      </c>
      <c r="P45" s="10">
        <f t="shared" si="49"/>
        <v>0</v>
      </c>
      <c r="Q45" s="6"/>
    </row>
    <row r="46" spans="1:17" x14ac:dyDescent="0.3">
      <c r="A46" s="4" t="s">
        <v>185</v>
      </c>
      <c r="B46" s="162"/>
      <c r="C46" s="163"/>
      <c r="D46" s="39">
        <f>SUM(D40:D45)+D37+D38</f>
        <v>49549.776361314493</v>
      </c>
      <c r="E46" s="163"/>
      <c r="F46" s="167">
        <f>SUM(F37:F38)</f>
        <v>9.9</v>
      </c>
      <c r="G46" s="4"/>
      <c r="H46" s="39">
        <f>SUM(H40:H45)+H37+H38</f>
        <v>825.82960602190815</v>
      </c>
      <c r="I46" s="132"/>
      <c r="J46" s="167">
        <f>SUM(J37:J38)</f>
        <v>9.9</v>
      </c>
      <c r="K46" s="163"/>
      <c r="L46" s="39">
        <f>SUM(L40:L45)+L37+L38</f>
        <v>825.82960602190815</v>
      </c>
      <c r="M46" s="132"/>
      <c r="N46" s="167">
        <f>SUM(N37:N38)</f>
        <v>9.9</v>
      </c>
      <c r="O46" s="163"/>
      <c r="P46" s="39">
        <f>SUM(P40:P45)+P37+P38</f>
        <v>825.82960602190815</v>
      </c>
    </row>
    <row r="48" spans="1:17" x14ac:dyDescent="0.3">
      <c r="A48" s="34" t="s">
        <v>187</v>
      </c>
      <c r="B48" s="35" t="s">
        <v>0</v>
      </c>
      <c r="C48" s="35" t="s">
        <v>1</v>
      </c>
      <c r="D48" s="43" t="s">
        <v>2</v>
      </c>
      <c r="E48" s="34"/>
      <c r="F48" s="35" t="s">
        <v>0</v>
      </c>
      <c r="G48" s="35" t="s">
        <v>1</v>
      </c>
      <c r="H48" s="43" t="s">
        <v>2</v>
      </c>
      <c r="I48" s="36"/>
      <c r="J48" s="35" t="s">
        <v>0</v>
      </c>
      <c r="K48" s="35" t="s">
        <v>1</v>
      </c>
      <c r="L48" s="43" t="s">
        <v>2</v>
      </c>
      <c r="M48" s="36"/>
      <c r="N48" s="35" t="s">
        <v>0</v>
      </c>
      <c r="O48" s="35" t="s">
        <v>1</v>
      </c>
      <c r="P48" s="43" t="s">
        <v>2</v>
      </c>
      <c r="Q48" s="36"/>
    </row>
    <row r="49" spans="1:17" x14ac:dyDescent="0.3">
      <c r="A49" t="s">
        <v>265</v>
      </c>
      <c r="B49" s="134">
        <v>1</v>
      </c>
      <c r="C49" s="133">
        <f>'5. Rakennukset'!M4</f>
        <v>13488.333333333334</v>
      </c>
      <c r="D49" s="14">
        <f>C49*B49</f>
        <v>13488.333333333334</v>
      </c>
      <c r="E49" s="132"/>
      <c r="F49" s="74">
        <f>B49/$D$5</f>
        <v>1.6666666666666666E-2</v>
      </c>
      <c r="G49" s="14">
        <f>H49/F49</f>
        <v>13488.333333333334</v>
      </c>
      <c r="H49" s="8">
        <f>D49/$D$5</f>
        <v>224.80555555555557</v>
      </c>
      <c r="I49" s="132"/>
      <c r="J49" s="149">
        <f t="shared" ref="J49:K52" si="69">F49</f>
        <v>1.6666666666666666E-2</v>
      </c>
      <c r="K49" s="133">
        <f t="shared" si="69"/>
        <v>13488.333333333334</v>
      </c>
      <c r="L49" s="8">
        <f>K49*J49</f>
        <v>224.80555555555557</v>
      </c>
      <c r="M49" s="132"/>
      <c r="N49" s="149">
        <f t="shared" ref="N49:O52" si="70">J49</f>
        <v>1.6666666666666666E-2</v>
      </c>
      <c r="O49" s="133">
        <f t="shared" si="70"/>
        <v>13488.333333333334</v>
      </c>
      <c r="P49" s="8">
        <f>O49*N49</f>
        <v>224.80555555555557</v>
      </c>
    </row>
    <row r="50" spans="1:17" x14ac:dyDescent="0.3">
      <c r="A50" s="73" t="s">
        <v>11</v>
      </c>
      <c r="B50" s="181">
        <f>'1. Pelto'!E16</f>
        <v>20</v>
      </c>
      <c r="C50" s="133">
        <f>'1. Pelto'!E20</f>
        <v>5250</v>
      </c>
      <c r="D50" s="14">
        <f>B50*C50*D7</f>
        <v>4200</v>
      </c>
      <c r="E50" s="132"/>
      <c r="F50" s="74">
        <f>B50/$D$5</f>
        <v>0.33333333333333331</v>
      </c>
      <c r="G50" s="14">
        <f>H50/F50</f>
        <v>210</v>
      </c>
      <c r="H50" s="8">
        <f>D50/$D$5</f>
        <v>70</v>
      </c>
      <c r="I50" s="132"/>
      <c r="J50" s="149">
        <f t="shared" si="69"/>
        <v>0.33333333333333331</v>
      </c>
      <c r="K50" s="133">
        <f t="shared" si="69"/>
        <v>210</v>
      </c>
      <c r="L50" s="8">
        <f>J50*K50</f>
        <v>70</v>
      </c>
      <c r="M50" s="132"/>
      <c r="N50" s="149">
        <f t="shared" si="70"/>
        <v>0.33333333333333331</v>
      </c>
      <c r="O50" s="133">
        <f t="shared" si="70"/>
        <v>210</v>
      </c>
      <c r="P50" s="8">
        <f>N50*O50</f>
        <v>70</v>
      </c>
    </row>
    <row r="51" spans="1:17" x14ac:dyDescent="0.3">
      <c r="A51" s="73" t="s">
        <v>12</v>
      </c>
      <c r="B51" s="181">
        <f>'1. Pelto'!E17</f>
        <v>40</v>
      </c>
      <c r="C51" s="133">
        <f>'1. Pelto'!E21</f>
        <v>171</v>
      </c>
      <c r="D51" s="14">
        <f>B51*C51</f>
        <v>6840</v>
      </c>
      <c r="E51" s="132"/>
      <c r="F51" s="74">
        <f>B51/$D$5</f>
        <v>0.66666666666666663</v>
      </c>
      <c r="G51" s="14">
        <f>H51/F51</f>
        <v>171</v>
      </c>
      <c r="H51" s="8">
        <f>D51/$D$5</f>
        <v>114</v>
      </c>
      <c r="I51" s="132"/>
      <c r="J51" s="149">
        <f t="shared" si="69"/>
        <v>0.66666666666666663</v>
      </c>
      <c r="K51" s="134">
        <f t="shared" si="69"/>
        <v>171</v>
      </c>
      <c r="L51" s="8">
        <f>J51*K51</f>
        <v>114</v>
      </c>
      <c r="M51" s="132"/>
      <c r="N51" s="149">
        <f t="shared" si="70"/>
        <v>0.66666666666666663</v>
      </c>
      <c r="O51" s="134">
        <f t="shared" si="70"/>
        <v>171</v>
      </c>
      <c r="P51" s="8">
        <f>N51*O51</f>
        <v>114</v>
      </c>
    </row>
    <row r="52" spans="1:17" x14ac:dyDescent="0.3">
      <c r="A52" s="6" t="s">
        <v>5</v>
      </c>
      <c r="B52" s="166">
        <f>D5</f>
        <v>60</v>
      </c>
      <c r="C52" s="139">
        <v>35</v>
      </c>
      <c r="D52" s="19">
        <f>B52*C52</f>
        <v>2100</v>
      </c>
      <c r="E52" s="155"/>
      <c r="F52" s="182">
        <f>B52/$D$5</f>
        <v>1</v>
      </c>
      <c r="G52" s="19">
        <f>H52/F52</f>
        <v>35</v>
      </c>
      <c r="H52" s="10">
        <f>D52/$D$5</f>
        <v>35</v>
      </c>
      <c r="I52" s="155"/>
      <c r="J52" s="183">
        <f t="shared" si="69"/>
        <v>1</v>
      </c>
      <c r="K52" s="166">
        <f t="shared" si="69"/>
        <v>35</v>
      </c>
      <c r="L52" s="10">
        <f>J52*K52</f>
        <v>35</v>
      </c>
      <c r="M52" s="155"/>
      <c r="N52" s="183">
        <f t="shared" si="70"/>
        <v>1</v>
      </c>
      <c r="O52" s="166">
        <f t="shared" si="70"/>
        <v>35</v>
      </c>
      <c r="P52" s="10">
        <f>N52*O52</f>
        <v>35</v>
      </c>
      <c r="Q52" s="6"/>
    </row>
    <row r="53" spans="1:17" x14ac:dyDescent="0.3">
      <c r="A53" s="4" t="s">
        <v>14</v>
      </c>
      <c r="B53" s="163"/>
      <c r="C53" s="163"/>
      <c r="D53" s="39">
        <f>SUM(D49:D52)</f>
        <v>26628.333333333336</v>
      </c>
      <c r="E53" s="176"/>
      <c r="F53" s="39"/>
      <c r="G53" s="39"/>
      <c r="H53" s="39">
        <f>SUM(H49:H52)</f>
        <v>443.80555555555554</v>
      </c>
      <c r="I53" s="177"/>
      <c r="J53" s="176"/>
      <c r="K53" s="176"/>
      <c r="L53" s="39">
        <f>SUM(L49:L52)</f>
        <v>443.80555555555554</v>
      </c>
      <c r="M53" s="177"/>
      <c r="N53" s="176"/>
      <c r="O53" s="176"/>
      <c r="P53" s="39">
        <f>SUM(P49:P52)</f>
        <v>443.80555555555554</v>
      </c>
      <c r="Q53" s="14"/>
    </row>
    <row r="54" spans="1:17" x14ac:dyDescent="0.3">
      <c r="D54" s="14"/>
      <c r="E54" s="14"/>
      <c r="F54" s="14"/>
      <c r="G54" s="14"/>
      <c r="H54" s="14"/>
      <c r="I54" s="14"/>
      <c r="J54" s="14"/>
      <c r="K54" s="14"/>
      <c r="L54" s="14"/>
      <c r="M54" s="14"/>
      <c r="N54" s="14"/>
      <c r="O54" s="14"/>
      <c r="P54" s="14"/>
      <c r="Q54" s="14"/>
    </row>
    <row r="55" spans="1:17" x14ac:dyDescent="0.3">
      <c r="A55" s="53" t="s">
        <v>15</v>
      </c>
      <c r="B55" s="53"/>
      <c r="C55" s="53" t="s">
        <v>2</v>
      </c>
      <c r="D55" s="54">
        <f>D34+D46+D53</f>
        <v>97564.409694647824</v>
      </c>
      <c r="E55" s="54"/>
      <c r="F55" s="54"/>
      <c r="G55" s="54" t="s">
        <v>20</v>
      </c>
      <c r="H55" s="54">
        <f>H34+H46+H53</f>
        <v>1626.0734949107969</v>
      </c>
      <c r="I55" s="54"/>
      <c r="J55" s="54"/>
      <c r="K55" s="54" t="s">
        <v>20</v>
      </c>
      <c r="L55" s="54">
        <f>L34+L46+L53</f>
        <v>1626.0734949107969</v>
      </c>
      <c r="M55" s="54"/>
      <c r="N55" s="54"/>
      <c r="O55" s="54" t="s">
        <v>20</v>
      </c>
      <c r="P55" s="54">
        <f>P34+P46+P53</f>
        <v>1626.0734949107969</v>
      </c>
      <c r="Q55" s="54"/>
    </row>
    <row r="56" spans="1:17" x14ac:dyDescent="0.3">
      <c r="A56" s="53" t="s">
        <v>307</v>
      </c>
      <c r="B56" s="53"/>
      <c r="C56" s="53" t="s">
        <v>2</v>
      </c>
      <c r="D56" s="54">
        <f>D16</f>
        <v>34380</v>
      </c>
      <c r="E56" s="54"/>
      <c r="F56" s="54"/>
      <c r="G56" s="54" t="s">
        <v>20</v>
      </c>
      <c r="H56" s="54">
        <f>H16</f>
        <v>573</v>
      </c>
      <c r="I56" s="54"/>
      <c r="J56" s="54"/>
      <c r="K56" s="54" t="s">
        <v>20</v>
      </c>
      <c r="L56" s="54">
        <f>L16</f>
        <v>573</v>
      </c>
      <c r="M56" s="54"/>
      <c r="N56" s="54"/>
      <c r="O56" s="54" t="s">
        <v>20</v>
      </c>
      <c r="P56" s="54">
        <f>P16</f>
        <v>573</v>
      </c>
      <c r="Q56" s="54"/>
    </row>
    <row r="57" spans="1:17" x14ac:dyDescent="0.3">
      <c r="A57" s="53" t="s">
        <v>87</v>
      </c>
      <c r="B57" s="53"/>
      <c r="C57" s="53" t="s">
        <v>2</v>
      </c>
      <c r="D57" s="54">
        <f>D55-D56</f>
        <v>63184.409694647824</v>
      </c>
      <c r="E57" s="54"/>
      <c r="F57" s="54"/>
      <c r="G57" s="54" t="s">
        <v>20</v>
      </c>
      <c r="H57" s="54">
        <f>H55-H56</f>
        <v>1053.0734949107969</v>
      </c>
      <c r="I57" s="54"/>
      <c r="J57" s="54"/>
      <c r="K57" s="54" t="s">
        <v>20</v>
      </c>
      <c r="L57" s="54">
        <f>L55-L56</f>
        <v>1053.0734949107969</v>
      </c>
      <c r="M57" s="54"/>
      <c r="N57" s="54"/>
      <c r="O57" s="54" t="s">
        <v>20</v>
      </c>
      <c r="P57" s="54">
        <f>P55-P56</f>
        <v>1053.0734949107969</v>
      </c>
      <c r="Q57" s="54"/>
    </row>
    <row r="59" spans="1:17" x14ac:dyDescent="0.3">
      <c r="A59" s="34" t="s">
        <v>17</v>
      </c>
      <c r="B59" s="34"/>
      <c r="C59" s="34"/>
      <c r="D59" s="34"/>
      <c r="E59" s="34"/>
      <c r="F59" s="34"/>
      <c r="G59" s="34"/>
      <c r="H59" s="34"/>
      <c r="I59" s="36"/>
      <c r="J59" s="34"/>
      <c r="K59" s="34"/>
      <c r="L59" s="34"/>
      <c r="M59" s="36"/>
      <c r="N59" s="34"/>
      <c r="O59" s="34"/>
      <c r="P59" s="34"/>
      <c r="Q59" s="36"/>
    </row>
    <row r="60" spans="1:17" x14ac:dyDescent="0.3">
      <c r="A60" t="s">
        <v>15</v>
      </c>
      <c r="C60" s="88" t="s">
        <v>369</v>
      </c>
      <c r="D60" s="8">
        <f>D55/(D10/1000)</f>
        <v>355.81358160179474</v>
      </c>
      <c r="G60" s="88" t="s">
        <v>369</v>
      </c>
      <c r="H60" s="224">
        <f>H55/(H10/1000)</f>
        <v>355.81358160179468</v>
      </c>
      <c r="I60" s="73"/>
      <c r="J60" s="73"/>
      <c r="K60" s="88" t="s">
        <v>369</v>
      </c>
      <c r="L60" s="224">
        <f>L55/(L10/1000)</f>
        <v>323.46689236526788</v>
      </c>
      <c r="M60" s="73"/>
      <c r="N60" s="73"/>
      <c r="O60" s="88" t="s">
        <v>369</v>
      </c>
      <c r="P60" s="224">
        <f>P55/(P10/1000)</f>
        <v>296.51131800149557</v>
      </c>
    </row>
    <row r="61" spans="1:17" x14ac:dyDescent="0.3">
      <c r="A61" t="s">
        <v>307</v>
      </c>
      <c r="C61" t="s">
        <v>369</v>
      </c>
      <c r="D61" s="8">
        <f>D56/(D10/1000)</f>
        <v>125.38251370305552</v>
      </c>
      <c r="G61" t="s">
        <v>369</v>
      </c>
      <c r="H61" s="8">
        <f>H56/(H10/1000)</f>
        <v>125.38251370305551</v>
      </c>
      <c r="K61" t="s">
        <v>369</v>
      </c>
      <c r="L61" s="8">
        <f>L56/(L10/1000)</f>
        <v>113.98410336641409</v>
      </c>
      <c r="O61" t="s">
        <v>369</v>
      </c>
      <c r="P61" s="8">
        <f>P56/(P10/1000)</f>
        <v>104.48542808587959</v>
      </c>
    </row>
    <row r="62" spans="1:17" x14ac:dyDescent="0.3">
      <c r="A62" s="6" t="s">
        <v>87</v>
      </c>
      <c r="B62" s="6"/>
      <c r="C62" s="6" t="s">
        <v>369</v>
      </c>
      <c r="D62" s="225">
        <f>D57/(D10/1000)</f>
        <v>230.43106789873923</v>
      </c>
      <c r="E62" s="6"/>
      <c r="F62" s="6"/>
      <c r="G62" s="6" t="s">
        <v>369</v>
      </c>
      <c r="H62" s="225">
        <f>H57/(H10/1000)</f>
        <v>230.43106789873917</v>
      </c>
      <c r="I62" s="6"/>
      <c r="J62" s="6"/>
      <c r="K62" s="6" t="s">
        <v>369</v>
      </c>
      <c r="L62" s="225">
        <f>L57/(L10/1000)</f>
        <v>209.48278899885378</v>
      </c>
      <c r="M62" s="6"/>
      <c r="N62" s="6"/>
      <c r="O62" s="6" t="s">
        <v>369</v>
      </c>
      <c r="P62" s="225">
        <f>P57/(P10/1000)</f>
        <v>192.02588991561598</v>
      </c>
      <c r="Q62" s="6"/>
    </row>
  </sheetData>
  <sheetProtection sheet="1" objects="1" scenarios="1"/>
  <dataConsolidate link="1"/>
  <mergeCells count="4">
    <mergeCell ref="F4:H4"/>
    <mergeCell ref="J4:L4"/>
    <mergeCell ref="N4:P4"/>
    <mergeCell ref="B4:D4"/>
  </mergeCells>
  <dataValidations count="1">
    <dataValidation type="list" errorStyle="information" allowBlank="1" showInputMessage="1" showErrorMessage="1" errorTitle="Valitse pudotusvalikosta" promptTitle="Valitse pudotusvalikosta" prompt="Valitse tukialua pudotusvalikosta. Pudotusvalikko avautuu tuosta solun oikealla puolella olevasta nuoli alaspäin -kuvakkeesta" sqref="H6 L6" xr:uid="{00000000-0002-0000-0500-000000000000}">
      <formula1>Tukialue</formula1>
    </dataValidation>
  </dataValidations>
  <printOptions horizontalCentered="1"/>
  <pageMargins left="0.39370078740157483" right="0.39370078740157483" top="0.39370078740157483" bottom="0.78740157480314965" header="0.31496062992125984" footer="0.19685039370078741"/>
  <pageSetup paperSize="9" scale="84" orientation="portrait" r:id="rId1"/>
  <headerFooter>
    <oddHeader>&amp;R&amp;D</oddHeader>
    <oddFooter>&amp;L&amp;G&amp;C&amp;G&amp;R&amp;G</oddFooter>
  </headerFooter>
  <colBreaks count="1" manualBreakCount="1">
    <brk id="9" max="1048575" man="1"/>
  </colBreaks>
  <ignoredErrors>
    <ignoredError sqref="H10 H8" formula="1"/>
    <ignoredError sqref="C10 D8:D9"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G96"/>
  <sheetViews>
    <sheetView zoomScale="120" zoomScaleNormal="120" workbookViewId="0">
      <selection activeCell="C5" sqref="C5"/>
    </sheetView>
  </sheetViews>
  <sheetFormatPr defaultRowHeight="14.4" x14ac:dyDescent="0.3"/>
  <cols>
    <col min="1" max="1" width="1.5546875" customWidth="1"/>
    <col min="2" max="2" width="29.33203125" customWidth="1"/>
    <col min="4" max="4" width="9.44140625" bestFit="1" customWidth="1"/>
  </cols>
  <sheetData>
    <row r="1" spans="2:7" x14ac:dyDescent="0.3">
      <c r="B1" s="28" t="s">
        <v>192</v>
      </c>
    </row>
    <row r="2" spans="2:7" x14ac:dyDescent="0.3">
      <c r="B2" s="279" t="s">
        <v>416</v>
      </c>
    </row>
    <row r="4" spans="2:7" ht="15.6" x14ac:dyDescent="0.3">
      <c r="B4" s="86" t="s">
        <v>175</v>
      </c>
      <c r="C4" s="6"/>
      <c r="D4" s="6"/>
    </row>
    <row r="5" spans="2:7" x14ac:dyDescent="0.3">
      <c r="B5" t="s">
        <v>191</v>
      </c>
      <c r="C5" s="159" t="s">
        <v>414</v>
      </c>
      <c r="D5" s="138"/>
      <c r="E5" s="132"/>
    </row>
    <row r="6" spans="2:7" x14ac:dyDescent="0.3">
      <c r="B6" t="s">
        <v>176</v>
      </c>
      <c r="C6" s="159">
        <v>2021</v>
      </c>
      <c r="D6" s="138"/>
      <c r="E6" s="132"/>
    </row>
    <row r="7" spans="2:7" x14ac:dyDescent="0.3">
      <c r="B7" t="s">
        <v>165</v>
      </c>
      <c r="C7" s="137" t="s">
        <v>317</v>
      </c>
      <c r="D7" s="132"/>
      <c r="E7" s="132"/>
    </row>
    <row r="8" spans="2:7" x14ac:dyDescent="0.3">
      <c r="B8" t="s">
        <v>166</v>
      </c>
      <c r="C8" s="137" t="str">
        <f>'1. Pelto'!E5</f>
        <v>Ohra</v>
      </c>
      <c r="D8" s="132"/>
      <c r="E8" s="132"/>
    </row>
    <row r="9" spans="2:7" x14ac:dyDescent="0.3">
      <c r="B9" t="s">
        <v>236</v>
      </c>
      <c r="C9" s="137" t="s">
        <v>235</v>
      </c>
      <c r="D9" s="132"/>
      <c r="E9" s="132"/>
    </row>
    <row r="10" spans="2:7" x14ac:dyDescent="0.3">
      <c r="B10" t="s">
        <v>377</v>
      </c>
      <c r="C10" s="137" t="s">
        <v>315</v>
      </c>
      <c r="D10" s="132"/>
      <c r="E10" s="132"/>
    </row>
    <row r="11" spans="2:7" x14ac:dyDescent="0.3">
      <c r="B11" t="s">
        <v>164</v>
      </c>
      <c r="C11" s="137" t="s">
        <v>169</v>
      </c>
    </row>
    <row r="13" spans="2:7" x14ac:dyDescent="0.3">
      <c r="B13" t="s">
        <v>194</v>
      </c>
      <c r="C13" s="14">
        <f>'7. Laskelma'!D5</f>
        <v>60</v>
      </c>
      <c r="D13" t="s">
        <v>66</v>
      </c>
    </row>
    <row r="14" spans="2:7" x14ac:dyDescent="0.3">
      <c r="B14" t="s">
        <v>167</v>
      </c>
      <c r="C14" s="14">
        <f>'7. Laskelma'!H10</f>
        <v>4570.0152523424504</v>
      </c>
      <c r="D14" t="s">
        <v>82</v>
      </c>
    </row>
    <row r="15" spans="2:7" x14ac:dyDescent="0.3">
      <c r="C15" s="8"/>
    </row>
    <row r="16" spans="2:7" x14ac:dyDescent="0.3">
      <c r="B16" t="s">
        <v>237</v>
      </c>
      <c r="C16" s="8">
        <f>'7. Laskelma'!H34</f>
        <v>356.43833333333333</v>
      </c>
      <c r="D16" t="s">
        <v>20</v>
      </c>
      <c r="E16" s="96">
        <f>C16/($C$14/1000)</f>
        <v>77.994998627331469</v>
      </c>
      <c r="F16" s="71" t="s">
        <v>369</v>
      </c>
      <c r="G16" s="98">
        <f>E16/$E$20</f>
        <v>0.21920185923262148</v>
      </c>
    </row>
    <row r="17" spans="1:7" x14ac:dyDescent="0.3">
      <c r="B17" t="s">
        <v>195</v>
      </c>
      <c r="C17" s="8">
        <f>'7. Laskelma'!H37+'7. Laskelma'!H38+'7. Laskelma'!H39</f>
        <v>178.42000000000002</v>
      </c>
      <c r="D17" t="s">
        <v>20</v>
      </c>
      <c r="E17" s="96">
        <f t="shared" ref="E17:E22" si="0">C17/($C$14/1000)</f>
        <v>39.0414451917961</v>
      </c>
      <c r="F17" s="71" t="s">
        <v>369</v>
      </c>
      <c r="G17" s="98">
        <f>E17/$E$20</f>
        <v>0.10972443776890156</v>
      </c>
    </row>
    <row r="18" spans="1:7" x14ac:dyDescent="0.3">
      <c r="B18" t="s">
        <v>189</v>
      </c>
      <c r="C18" s="8">
        <f>'7. Laskelma'!H46-Yhteenveto!C17</f>
        <v>647.40960602190808</v>
      </c>
      <c r="D18" t="s">
        <v>20</v>
      </c>
      <c r="E18" s="96">
        <f t="shared" si="0"/>
        <v>141.66464886305698</v>
      </c>
      <c r="F18" s="71" t="s">
        <v>369</v>
      </c>
      <c r="G18" s="98">
        <f>E18/$E$20</f>
        <v>0.39814289332440267</v>
      </c>
    </row>
    <row r="19" spans="1:7" x14ac:dyDescent="0.3">
      <c r="B19" t="s">
        <v>188</v>
      </c>
      <c r="C19" s="8">
        <f>'7. Laskelma'!H53</f>
        <v>443.80555555555554</v>
      </c>
      <c r="D19" t="s">
        <v>20</v>
      </c>
      <c r="E19" s="96">
        <f t="shared" si="0"/>
        <v>97.112488919610129</v>
      </c>
      <c r="F19" s="71" t="s">
        <v>369</v>
      </c>
      <c r="G19" s="98">
        <f>E19/$E$20</f>
        <v>0.27293080967407429</v>
      </c>
    </row>
    <row r="20" spans="1:7" x14ac:dyDescent="0.3">
      <c r="B20" t="s">
        <v>190</v>
      </c>
      <c r="C20" s="8">
        <f>SUM(C16:C19)</f>
        <v>1626.0734949107969</v>
      </c>
      <c r="D20" t="s">
        <v>20</v>
      </c>
      <c r="E20" s="96">
        <f t="shared" si="0"/>
        <v>355.81358160179468</v>
      </c>
      <c r="F20" s="71" t="s">
        <v>369</v>
      </c>
      <c r="G20" s="98">
        <f>E20/$E$20</f>
        <v>1</v>
      </c>
    </row>
    <row r="21" spans="1:7" x14ac:dyDescent="0.3">
      <c r="B21" t="s">
        <v>6</v>
      </c>
      <c r="C21" s="8">
        <f>'7. Laskelma'!H16</f>
        <v>573</v>
      </c>
      <c r="D21" t="s">
        <v>20</v>
      </c>
      <c r="E21" s="96">
        <f t="shared" si="0"/>
        <v>125.38251370305551</v>
      </c>
      <c r="F21" s="71" t="s">
        <v>369</v>
      </c>
    </row>
    <row r="22" spans="1:7" x14ac:dyDescent="0.3">
      <c r="B22" t="s">
        <v>168</v>
      </c>
      <c r="C22" s="8">
        <f>C20-C21</f>
        <v>1053.0734949107969</v>
      </c>
      <c r="D22" t="s">
        <v>20</v>
      </c>
      <c r="E22" s="96">
        <f t="shared" si="0"/>
        <v>230.43106789873917</v>
      </c>
      <c r="F22" s="71" t="s">
        <v>369</v>
      </c>
    </row>
    <row r="23" spans="1:7" x14ac:dyDescent="0.3">
      <c r="C23" s="8"/>
    </row>
    <row r="24" spans="1:7" x14ac:dyDescent="0.3">
      <c r="B24" t="s">
        <v>15</v>
      </c>
      <c r="C24" s="8">
        <f>'7. Laskelma'!D60</f>
        <v>355.81358160179474</v>
      </c>
      <c r="D24" t="s">
        <v>369</v>
      </c>
      <c r="E24" s="96"/>
      <c r="F24" s="71"/>
    </row>
    <row r="25" spans="1:7" x14ac:dyDescent="0.3">
      <c r="B25" t="s">
        <v>307</v>
      </c>
      <c r="C25" s="8">
        <f>'7. Laskelma'!D61</f>
        <v>125.38251370305552</v>
      </c>
      <c r="D25" t="s">
        <v>369</v>
      </c>
    </row>
    <row r="26" spans="1:7" x14ac:dyDescent="0.3">
      <c r="B26" t="s">
        <v>87</v>
      </c>
      <c r="C26" s="8">
        <f>'7. Laskelma'!D62</f>
        <v>230.43106789873923</v>
      </c>
      <c r="D26" t="s">
        <v>369</v>
      </c>
      <c r="E26" s="96"/>
      <c r="F26" s="71"/>
    </row>
    <row r="27" spans="1:7" x14ac:dyDescent="0.3">
      <c r="C27" s="9"/>
    </row>
    <row r="28" spans="1:7" x14ac:dyDescent="0.3">
      <c r="B28" t="s">
        <v>289</v>
      </c>
      <c r="C28" s="9">
        <f>'6. Työmenekki'!F27</f>
        <v>9.9</v>
      </c>
      <c r="D28" t="s">
        <v>290</v>
      </c>
    </row>
    <row r="29" spans="1:7" x14ac:dyDescent="0.3">
      <c r="B29" t="s">
        <v>291</v>
      </c>
      <c r="C29" s="14">
        <f>Pääoma!C24</f>
        <v>8208.4861111111113</v>
      </c>
      <c r="D29" t="s">
        <v>20</v>
      </c>
    </row>
    <row r="30" spans="1:7" x14ac:dyDescent="0.3">
      <c r="B30" t="s">
        <v>292</v>
      </c>
      <c r="C30" s="14">
        <f>Pääoma!C21</f>
        <v>2418.2222222222217</v>
      </c>
      <c r="D30" t="s">
        <v>20</v>
      </c>
    </row>
    <row r="31" spans="1:7" s="16" customFormat="1" x14ac:dyDescent="0.3">
      <c r="E31"/>
      <c r="F31"/>
      <c r="G31"/>
    </row>
    <row r="32" spans="1:7" s="16" customFormat="1" x14ac:dyDescent="0.3">
      <c r="A32" s="28"/>
      <c r="B32" s="28"/>
      <c r="C32" s="28"/>
      <c r="D32" s="28"/>
      <c r="E32" s="28"/>
      <c r="F32" s="28"/>
      <c r="G32" s="28"/>
    </row>
    <row r="33" spans="1:7" s="16" customFormat="1" x14ac:dyDescent="0.3">
      <c r="A33" s="28"/>
      <c r="B33" s="28"/>
      <c r="C33" s="261"/>
      <c r="D33" s="28"/>
      <c r="E33" s="28"/>
      <c r="F33" s="28"/>
      <c r="G33" s="28"/>
    </row>
    <row r="34" spans="1:7" s="16" customFormat="1" x14ac:dyDescent="0.3">
      <c r="A34" s="28"/>
      <c r="B34" s="28"/>
      <c r="C34" s="261"/>
      <c r="D34" s="28"/>
      <c r="E34" s="28"/>
      <c r="F34" s="28"/>
      <c r="G34" s="28"/>
    </row>
    <row r="35" spans="1:7" s="16" customFormat="1" x14ac:dyDescent="0.3">
      <c r="A35" s="28"/>
      <c r="B35" s="28"/>
      <c r="C35" s="261"/>
      <c r="D35" s="28"/>
      <c r="E35" s="28"/>
      <c r="F35" s="28"/>
      <c r="G35" s="28"/>
    </row>
    <row r="36" spans="1:7" s="16" customFormat="1" x14ac:dyDescent="0.3">
      <c r="A36" s="28"/>
      <c r="B36" s="28"/>
      <c r="C36" s="28"/>
      <c r="D36" s="28"/>
      <c r="E36" s="28"/>
      <c r="F36" s="28"/>
      <c r="G36" s="28"/>
    </row>
    <row r="37" spans="1:7" s="16" customFormat="1" x14ac:dyDescent="0.3">
      <c r="A37" s="28"/>
      <c r="B37" s="85"/>
      <c r="C37" s="85"/>
      <c r="D37" s="85"/>
      <c r="E37" s="85"/>
      <c r="F37" s="28"/>
      <c r="G37" s="28"/>
    </row>
    <row r="38" spans="1:7" s="16" customFormat="1" x14ac:dyDescent="0.3">
      <c r="A38" s="28"/>
      <c r="B38" s="85" t="s">
        <v>176</v>
      </c>
      <c r="C38" s="85"/>
      <c r="D38" s="85"/>
      <c r="E38" s="85"/>
      <c r="F38" s="28"/>
      <c r="G38" s="28"/>
    </row>
    <row r="39" spans="1:7" s="16" customFormat="1" x14ac:dyDescent="0.3">
      <c r="A39" s="28"/>
      <c r="B39" s="276">
        <v>2018</v>
      </c>
      <c r="C39" s="85"/>
      <c r="D39" s="85"/>
      <c r="E39" s="85"/>
      <c r="F39" s="28"/>
      <c r="G39" s="28"/>
    </row>
    <row r="40" spans="1:7" s="16" customFormat="1" x14ac:dyDescent="0.3">
      <c r="A40" s="28"/>
      <c r="B40" s="276">
        <v>2019</v>
      </c>
      <c r="C40" s="85"/>
      <c r="D40" s="85"/>
      <c r="E40" s="85"/>
      <c r="F40" s="28"/>
      <c r="G40" s="28"/>
    </row>
    <row r="41" spans="1:7" s="16" customFormat="1" x14ac:dyDescent="0.3">
      <c r="A41" s="28"/>
      <c r="B41" s="276">
        <v>2020</v>
      </c>
      <c r="C41" s="85"/>
      <c r="D41" s="85"/>
      <c r="E41" s="85"/>
      <c r="F41" s="28"/>
      <c r="G41" s="28"/>
    </row>
    <row r="42" spans="1:7" s="16" customFormat="1" x14ac:dyDescent="0.3">
      <c r="A42" s="28"/>
      <c r="B42" s="276">
        <v>2021</v>
      </c>
      <c r="C42" s="85"/>
      <c r="D42" s="85"/>
      <c r="E42" s="85"/>
      <c r="F42" s="28"/>
      <c r="G42" s="28"/>
    </row>
    <row r="43" spans="1:7" s="16" customFormat="1" x14ac:dyDescent="0.3">
      <c r="A43" s="28"/>
      <c r="B43" s="276">
        <v>2022</v>
      </c>
      <c r="C43" s="85"/>
      <c r="D43" s="85"/>
      <c r="E43" s="85"/>
      <c r="F43" s="28"/>
      <c r="G43" s="28"/>
    </row>
    <row r="44" spans="1:7" s="16" customFormat="1" x14ac:dyDescent="0.3">
      <c r="A44" s="28"/>
      <c r="B44" s="85"/>
      <c r="C44" s="85"/>
      <c r="D44" s="85"/>
      <c r="E44" s="85"/>
      <c r="F44" s="28"/>
      <c r="G44" s="28"/>
    </row>
    <row r="45" spans="1:7" s="16" customFormat="1" x14ac:dyDescent="0.3">
      <c r="A45" s="28"/>
      <c r="B45" s="276"/>
      <c r="C45" s="85"/>
      <c r="D45" s="85"/>
      <c r="E45" s="85"/>
      <c r="F45" s="28"/>
      <c r="G45" s="28"/>
    </row>
    <row r="46" spans="1:7" s="16" customFormat="1" x14ac:dyDescent="0.3">
      <c r="A46" s="28"/>
      <c r="B46" s="85" t="s">
        <v>165</v>
      </c>
      <c r="C46" s="85"/>
      <c r="D46" s="85"/>
      <c r="E46" s="85"/>
      <c r="F46" s="28"/>
      <c r="G46" s="28"/>
    </row>
    <row r="47" spans="1:7" s="16" customFormat="1" x14ac:dyDescent="0.3">
      <c r="A47" s="28"/>
      <c r="B47" s="85" t="s">
        <v>317</v>
      </c>
      <c r="C47" s="85"/>
      <c r="D47" s="85"/>
      <c r="E47" s="85"/>
      <c r="F47" s="28"/>
      <c r="G47" s="28"/>
    </row>
    <row r="48" spans="1:7" s="16" customFormat="1" x14ac:dyDescent="0.3">
      <c r="A48" s="28"/>
      <c r="B48" s="85" t="s">
        <v>319</v>
      </c>
      <c r="C48" s="85"/>
      <c r="D48" s="85"/>
      <c r="E48" s="85"/>
      <c r="F48" s="28"/>
      <c r="G48" s="28"/>
    </row>
    <row r="49" spans="1:7" s="16" customFormat="1" x14ac:dyDescent="0.3">
      <c r="A49" s="28"/>
      <c r="B49" s="85" t="s">
        <v>318</v>
      </c>
      <c r="C49" s="85"/>
      <c r="D49" s="85"/>
      <c r="E49" s="85"/>
      <c r="F49" s="28"/>
      <c r="G49" s="28"/>
    </row>
    <row r="50" spans="1:7" s="16" customFormat="1" x14ac:dyDescent="0.3">
      <c r="A50" s="28"/>
      <c r="B50" s="85" t="s">
        <v>172</v>
      </c>
      <c r="C50" s="85"/>
      <c r="D50" s="85"/>
      <c r="E50" s="85"/>
      <c r="F50" s="28"/>
      <c r="G50" s="28"/>
    </row>
    <row r="51" spans="1:7" s="16" customFormat="1" x14ac:dyDescent="0.3">
      <c r="A51" s="28"/>
      <c r="B51" s="85" t="s">
        <v>173</v>
      </c>
      <c r="C51" s="85"/>
      <c r="D51" s="85"/>
      <c r="E51" s="85"/>
      <c r="F51" s="28"/>
      <c r="G51" s="28"/>
    </row>
    <row r="52" spans="1:7" s="16" customFormat="1" x14ac:dyDescent="0.3">
      <c r="A52" s="28"/>
      <c r="B52" s="85" t="s">
        <v>415</v>
      </c>
      <c r="C52" s="85"/>
      <c r="D52" s="85"/>
      <c r="E52" s="85"/>
      <c r="F52" s="28"/>
      <c r="G52" s="28"/>
    </row>
    <row r="53" spans="1:7" s="16" customFormat="1" x14ac:dyDescent="0.3">
      <c r="A53" s="28"/>
      <c r="B53" s="85" t="s">
        <v>43</v>
      </c>
      <c r="C53" s="85"/>
      <c r="D53" s="85"/>
      <c r="E53" s="85"/>
      <c r="F53" s="28"/>
      <c r="G53" s="28"/>
    </row>
    <row r="54" spans="1:7" s="16" customFormat="1" x14ac:dyDescent="0.3">
      <c r="A54" s="28"/>
      <c r="B54" s="85"/>
      <c r="C54" s="85"/>
      <c r="D54" s="85"/>
      <c r="E54" s="85"/>
      <c r="F54" s="28"/>
      <c r="G54" s="28"/>
    </row>
    <row r="55" spans="1:7" s="16" customFormat="1" x14ac:dyDescent="0.3">
      <c r="A55" s="28"/>
      <c r="B55" s="85" t="s">
        <v>174</v>
      </c>
      <c r="C55" s="85"/>
      <c r="D55" s="85"/>
      <c r="E55" s="85"/>
      <c r="F55" s="28"/>
      <c r="G55" s="28"/>
    </row>
    <row r="56" spans="1:7" s="16" customFormat="1" x14ac:dyDescent="0.3">
      <c r="A56" s="28"/>
      <c r="B56" s="85" t="s">
        <v>143</v>
      </c>
      <c r="C56" s="277">
        <v>0.14000000000000001</v>
      </c>
      <c r="D56" s="85"/>
      <c r="E56" s="85"/>
      <c r="F56" s="28"/>
      <c r="G56" s="28"/>
    </row>
    <row r="57" spans="1:7" s="16" customFormat="1" x14ac:dyDescent="0.3">
      <c r="A57" s="28"/>
      <c r="B57" s="85" t="s">
        <v>309</v>
      </c>
      <c r="C57" s="277">
        <v>0.14000000000000001</v>
      </c>
      <c r="D57" s="85"/>
      <c r="E57" s="85"/>
      <c r="F57" s="28"/>
      <c r="G57" s="28"/>
    </row>
    <row r="58" spans="1:7" s="16" customFormat="1" x14ac:dyDescent="0.3">
      <c r="A58" s="28"/>
      <c r="B58" s="85" t="s">
        <v>310</v>
      </c>
      <c r="C58" s="277">
        <v>0.14000000000000001</v>
      </c>
      <c r="D58" s="85"/>
      <c r="E58" s="85"/>
      <c r="F58" s="28"/>
      <c r="G58" s="28"/>
    </row>
    <row r="59" spans="1:7" s="16" customFormat="1" x14ac:dyDescent="0.3">
      <c r="A59" s="28"/>
      <c r="B59" s="85" t="s">
        <v>308</v>
      </c>
      <c r="C59" s="277">
        <v>0.14000000000000001</v>
      </c>
      <c r="D59" s="85"/>
      <c r="E59" s="85"/>
      <c r="F59" s="28"/>
      <c r="G59" s="28"/>
    </row>
    <row r="60" spans="1:7" s="16" customFormat="1" x14ac:dyDescent="0.3">
      <c r="A60" s="28"/>
      <c r="B60" s="278" t="s">
        <v>311</v>
      </c>
      <c r="C60" s="277">
        <v>0.15</v>
      </c>
      <c r="D60" s="85"/>
      <c r="E60" s="85"/>
      <c r="F60" s="28"/>
      <c r="G60" s="28"/>
    </row>
    <row r="61" spans="1:7" s="16" customFormat="1" x14ac:dyDescent="0.3">
      <c r="A61" s="28"/>
      <c r="B61" s="85" t="s">
        <v>312</v>
      </c>
      <c r="C61" s="277">
        <v>0.15</v>
      </c>
      <c r="D61" s="85"/>
      <c r="E61" s="85"/>
      <c r="F61" s="28"/>
      <c r="G61" s="28"/>
    </row>
    <row r="62" spans="1:7" x14ac:dyDescent="0.3">
      <c r="A62" s="28"/>
      <c r="B62" s="85" t="s">
        <v>313</v>
      </c>
      <c r="C62" s="277">
        <v>0.08</v>
      </c>
      <c r="D62" s="85"/>
      <c r="E62" s="85"/>
      <c r="F62" s="28"/>
      <c r="G62" s="28"/>
    </row>
    <row r="63" spans="1:7" x14ac:dyDescent="0.3">
      <c r="A63" s="28"/>
      <c r="B63" s="85" t="s">
        <v>144</v>
      </c>
      <c r="C63" s="277">
        <v>0.14000000000000001</v>
      </c>
      <c r="D63" s="85"/>
      <c r="E63" s="85"/>
      <c r="F63" s="28"/>
      <c r="G63" s="28"/>
    </row>
    <row r="64" spans="1:7" x14ac:dyDescent="0.3">
      <c r="A64" s="28"/>
      <c r="B64" s="85"/>
      <c r="C64" s="85"/>
      <c r="D64" s="85"/>
      <c r="E64" s="85"/>
      <c r="F64" s="28"/>
      <c r="G64" s="28"/>
    </row>
    <row r="65" spans="1:7" x14ac:dyDescent="0.3">
      <c r="A65" s="28"/>
      <c r="B65" s="85" t="s">
        <v>236</v>
      </c>
      <c r="C65" s="85"/>
      <c r="D65" s="85"/>
      <c r="E65" s="85"/>
      <c r="F65" s="28"/>
      <c r="G65" s="28"/>
    </row>
    <row r="66" spans="1:7" x14ac:dyDescent="0.3">
      <c r="A66" s="28"/>
      <c r="B66" s="85" t="s">
        <v>235</v>
      </c>
      <c r="C66" s="85"/>
      <c r="D66" s="85"/>
      <c r="E66" s="85"/>
      <c r="F66" s="28"/>
      <c r="G66" s="28"/>
    </row>
    <row r="67" spans="1:7" x14ac:dyDescent="0.3">
      <c r="A67" s="28"/>
      <c r="B67" s="85" t="s">
        <v>233</v>
      </c>
      <c r="C67" s="85"/>
      <c r="D67" s="85"/>
      <c r="E67" s="85"/>
      <c r="F67" s="28"/>
      <c r="G67" s="28"/>
    </row>
    <row r="68" spans="1:7" x14ac:dyDescent="0.3">
      <c r="A68" s="28"/>
      <c r="B68" s="85" t="s">
        <v>234</v>
      </c>
      <c r="C68" s="85"/>
      <c r="D68" s="85"/>
      <c r="E68" s="85"/>
      <c r="F68" s="28"/>
      <c r="G68" s="28"/>
    </row>
    <row r="69" spans="1:7" x14ac:dyDescent="0.3">
      <c r="A69" s="28"/>
      <c r="B69" s="85"/>
      <c r="C69" s="85"/>
      <c r="D69" s="85"/>
      <c r="E69" s="85"/>
      <c r="F69" s="28"/>
      <c r="G69" s="28"/>
    </row>
    <row r="70" spans="1:7" x14ac:dyDescent="0.3">
      <c r="A70" s="28"/>
      <c r="B70" s="85" t="s">
        <v>314</v>
      </c>
      <c r="C70" s="85"/>
      <c r="D70" s="85"/>
      <c r="E70" s="85"/>
      <c r="F70" s="28"/>
      <c r="G70" s="28"/>
    </row>
    <row r="71" spans="1:7" x14ac:dyDescent="0.3">
      <c r="A71" s="28"/>
      <c r="B71" s="85" t="s">
        <v>315</v>
      </c>
      <c r="C71" s="85"/>
      <c r="D71" s="85"/>
      <c r="E71" s="85"/>
      <c r="F71" s="28"/>
      <c r="G71" s="28"/>
    </row>
    <row r="72" spans="1:7" x14ac:dyDescent="0.3">
      <c r="A72" s="28"/>
      <c r="B72" s="85" t="s">
        <v>316</v>
      </c>
      <c r="C72" s="85"/>
      <c r="D72" s="85"/>
      <c r="E72" s="85"/>
      <c r="F72" s="28"/>
      <c r="G72" s="28"/>
    </row>
    <row r="73" spans="1:7" x14ac:dyDescent="0.3">
      <c r="A73" s="28"/>
      <c r="B73" s="85" t="s">
        <v>43</v>
      </c>
      <c r="C73" s="85"/>
      <c r="D73" s="85"/>
      <c r="E73" s="85"/>
      <c r="F73" s="28"/>
      <c r="G73" s="28"/>
    </row>
    <row r="74" spans="1:7" x14ac:dyDescent="0.3">
      <c r="A74" s="28"/>
      <c r="B74" s="85"/>
      <c r="C74" s="85"/>
      <c r="D74" s="85"/>
      <c r="E74" s="85"/>
      <c r="F74" s="28"/>
      <c r="G74" s="28"/>
    </row>
    <row r="75" spans="1:7" x14ac:dyDescent="0.3">
      <c r="A75" s="28"/>
      <c r="B75" s="85" t="s">
        <v>164</v>
      </c>
      <c r="C75" s="85"/>
      <c r="D75" s="85"/>
      <c r="E75" s="85"/>
      <c r="F75" s="28"/>
      <c r="G75" s="28"/>
    </row>
    <row r="76" spans="1:7" x14ac:dyDescent="0.3">
      <c r="A76" s="28"/>
      <c r="B76" s="85" t="s">
        <v>169</v>
      </c>
      <c r="C76" s="85"/>
      <c r="D76" s="85"/>
      <c r="E76" s="85"/>
      <c r="F76" s="28"/>
      <c r="G76" s="28"/>
    </row>
    <row r="77" spans="1:7" x14ac:dyDescent="0.3">
      <c r="A77" s="28"/>
      <c r="B77" s="85" t="s">
        <v>170</v>
      </c>
      <c r="C77" s="85"/>
      <c r="D77" s="85"/>
      <c r="E77" s="85"/>
      <c r="F77" s="28"/>
      <c r="G77" s="28"/>
    </row>
    <row r="78" spans="1:7" x14ac:dyDescent="0.3">
      <c r="A78" s="28"/>
      <c r="B78" s="85" t="s">
        <v>171</v>
      </c>
      <c r="C78" s="85"/>
      <c r="D78" s="85"/>
      <c r="E78" s="85"/>
      <c r="F78" s="28"/>
      <c r="G78" s="28"/>
    </row>
    <row r="79" spans="1:7" x14ac:dyDescent="0.3">
      <c r="A79" s="28"/>
      <c r="B79" s="85"/>
      <c r="C79" s="85"/>
      <c r="D79" s="85"/>
      <c r="E79" s="85"/>
      <c r="F79" s="28"/>
      <c r="G79" s="28"/>
    </row>
    <row r="80" spans="1:7" x14ac:dyDescent="0.3">
      <c r="A80" s="85"/>
      <c r="B80" s="85"/>
      <c r="C80" s="85"/>
      <c r="D80" s="85"/>
      <c r="E80" s="85"/>
      <c r="F80" s="28"/>
    </row>
    <row r="81" spans="1:6" x14ac:dyDescent="0.3">
      <c r="A81" s="85"/>
      <c r="B81" s="85"/>
      <c r="C81" s="85"/>
      <c r="D81" s="85"/>
      <c r="E81" s="28"/>
      <c r="F81" s="28"/>
    </row>
    <row r="82" spans="1:6" x14ac:dyDescent="0.3">
      <c r="A82" s="85"/>
      <c r="B82" s="85"/>
      <c r="C82" s="85"/>
      <c r="D82" s="85"/>
      <c r="E82" s="28"/>
      <c r="F82" s="28"/>
    </row>
    <row r="83" spans="1:6" x14ac:dyDescent="0.3">
      <c r="A83" s="85"/>
      <c r="B83" s="85"/>
      <c r="C83" s="85"/>
      <c r="D83" s="85"/>
      <c r="E83" s="28"/>
      <c r="F83" s="28"/>
    </row>
    <row r="84" spans="1:6" x14ac:dyDescent="0.3">
      <c r="B84" s="28"/>
      <c r="C84" s="28"/>
      <c r="D84" s="28"/>
      <c r="E84" s="28"/>
      <c r="F84" s="28"/>
    </row>
    <row r="85" spans="1:6" x14ac:dyDescent="0.3">
      <c r="B85" s="28"/>
      <c r="C85" s="28"/>
      <c r="D85" s="28"/>
      <c r="E85" s="28"/>
      <c r="F85" s="28"/>
    </row>
    <row r="86" spans="1:6" x14ac:dyDescent="0.3">
      <c r="B86" s="28"/>
    </row>
    <row r="87" spans="1:6" x14ac:dyDescent="0.3">
      <c r="B87" s="28"/>
    </row>
    <row r="88" spans="1:6" x14ac:dyDescent="0.3">
      <c r="B88" s="28"/>
    </row>
    <row r="89" spans="1:6" x14ac:dyDescent="0.3">
      <c r="B89" s="28"/>
    </row>
    <row r="90" spans="1:6" x14ac:dyDescent="0.3">
      <c r="B90" s="28"/>
    </row>
    <row r="91" spans="1:6" x14ac:dyDescent="0.3">
      <c r="B91" s="28"/>
    </row>
    <row r="92" spans="1:6" x14ac:dyDescent="0.3">
      <c r="B92" s="28"/>
    </row>
    <row r="93" spans="1:6" x14ac:dyDescent="0.3">
      <c r="B93" s="28"/>
    </row>
    <row r="94" spans="1:6" x14ac:dyDescent="0.3">
      <c r="B94" s="28"/>
    </row>
    <row r="95" spans="1:6" x14ac:dyDescent="0.3">
      <c r="B95" s="28"/>
    </row>
    <row r="96" spans="1:6" x14ac:dyDescent="0.3">
      <c r="B96" s="28"/>
    </row>
  </sheetData>
  <dataValidations count="5">
    <dataValidation type="list" allowBlank="1" showInputMessage="1" showErrorMessage="1" promptTitle="Valitse" prompt="Pudotuslaskelmasta satovuosi, jolta laskelma on tehty " sqref="C6" xr:uid="{00000000-0002-0000-0600-000000000000}">
      <formula1>$B$39:$B$43</formula1>
    </dataValidation>
    <dataValidation type="list" allowBlank="1" showInputMessage="1" showErrorMessage="1" promptTitle="Valitse" prompt="tuotantosuunta pudotusvalikosta" sqref="C7" xr:uid="{00000000-0002-0000-0600-000001000000}">
      <formula1>$B$47:$B$53</formula1>
    </dataValidation>
    <dataValidation type="list" allowBlank="1" showInputMessage="1" showErrorMessage="1" promptTitle="Valitse" prompt="Pudotusvalikosta tieto, onko tuotanto luomussa" sqref="C9" xr:uid="{00000000-0002-0000-0600-000002000000}">
      <formula1>$B$66:$B$68</formula1>
    </dataValidation>
    <dataValidation type="list" allowBlank="1" showInputMessage="1" showErrorMessage="1" promptTitle="Valitse" prompt="Pudotusvalikosta pääasiallinen koneiden omistusmuoto" sqref="C11" xr:uid="{00000000-0002-0000-0600-000003000000}">
      <formula1>$B$76:$B$78</formula1>
    </dataValidation>
    <dataValidation type="list" allowBlank="1" showInputMessage="1" showErrorMessage="1" promptTitle="Valitse" prompt="Pudotusvalikosta pääasiallinen korjuutapa (paitsi, jos kysymyksessä laidun tai rehuvilja)" sqref="C10" xr:uid="{00000000-0002-0000-0600-000004000000}">
      <formula1>$B$71:$B$74</formula1>
    </dataValidation>
  </dataValidations>
  <hyperlinks>
    <hyperlink ref="B2" r:id="rId1" xr:uid="{A7221617-5AD9-4CAC-91A3-D9D0BAF13DB2}"/>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1FCD4C7BC2AC7C4DA5E991E0AD4B25D6" ma:contentTypeVersion="1" ma:contentTypeDescription="Luo uusi asiakirja." ma:contentTypeScope="" ma:versionID="764a44e5966ea088107461222ccfbfb2">
  <xsd:schema xmlns:xsd="http://www.w3.org/2001/XMLSchema" xmlns:p="http://schemas.microsoft.com/office/2006/metadata/properties" xmlns:ns1="http://schemas.microsoft.com/sharepoint/v3" targetNamespace="http://schemas.microsoft.com/office/2006/metadata/properties" ma:root="true" ma:fieldsID="e85411fcdfd7acb1815bb8958b4782b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Ajoituksen alkamispäivämäärä" ma:internalName="PublishingStartDate">
      <xsd:simpleType>
        <xsd:restriction base="dms:Unknown"/>
      </xsd:simpleType>
    </xsd:element>
    <xsd:element name="PublishingExpirationDate" ma:index="9" nillable="true" ma:displayName="Ajoituksen päättymispäivämäärä"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ma:readOnly="true"/>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023859E-4980-43EA-8B7D-40E94A0BBC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0C35FCE-D6C1-441E-A730-B00024CC3E70}">
  <ds:schemaRefs>
    <ds:schemaRef ds:uri="http://schemas.microsoft.com/sharepoint/v3/contenttype/forms"/>
  </ds:schemaRefs>
</ds:datastoreItem>
</file>

<file path=customXml/itemProps3.xml><?xml version="1.0" encoding="utf-8"?>
<ds:datastoreItem xmlns:ds="http://schemas.openxmlformats.org/officeDocument/2006/customXml" ds:itemID="{FB5850D2-641A-4DC8-A685-C8309750274F}">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11</vt:i4>
      </vt:variant>
      <vt:variant>
        <vt:lpstr>Nimetyt alueet</vt:lpstr>
      </vt:variant>
      <vt:variant>
        <vt:i4>12</vt:i4>
      </vt:variant>
    </vt:vector>
  </HeadingPairs>
  <TitlesOfParts>
    <vt:vector size="23" baseType="lpstr">
      <vt:lpstr>Saate</vt:lpstr>
      <vt:lpstr>1. Pelto</vt:lpstr>
      <vt:lpstr>2. Sadon määrä</vt:lpstr>
      <vt:lpstr>3. Koneet</vt:lpstr>
      <vt:lpstr>4. Urakointi</vt:lpstr>
      <vt:lpstr>5. Rakennukset</vt:lpstr>
      <vt:lpstr>6. Työmenekki</vt:lpstr>
      <vt:lpstr>7. Laskelma</vt:lpstr>
      <vt:lpstr>Yhteenveto</vt:lpstr>
      <vt:lpstr>Pääoma</vt:lpstr>
      <vt:lpstr>Tuet</vt:lpstr>
      <vt:lpstr>Päätuotantosuunta</vt:lpstr>
      <vt:lpstr>Tukialue</vt:lpstr>
      <vt:lpstr>'1. Pelto'!Tulostusalue</vt:lpstr>
      <vt:lpstr>'3. Koneet'!Tulostusalue</vt:lpstr>
      <vt:lpstr>'4. Urakointi'!Tulostusalue</vt:lpstr>
      <vt:lpstr>'5. Rakennukset'!Tulostusalue</vt:lpstr>
      <vt:lpstr>'7. Laskelma'!Tulostusalue</vt:lpstr>
      <vt:lpstr>Saate!Tulostusalue</vt:lpstr>
      <vt:lpstr>Tuet!Tulostusalue</vt:lpstr>
      <vt:lpstr>'3. Koneet'!Tulostusotsikot</vt:lpstr>
      <vt:lpstr>'5. Rakennukset'!Tulostusotsikot</vt:lpstr>
      <vt:lpstr>'7. Laskelma'!Tulostusotsikot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Nurmen tuotantokustannus</dc:title>
  <dc:creator>Karsikas Tomi</dc:creator>
  <cp:lastModifiedBy>Karsikas, Tomi</cp:lastModifiedBy>
  <cp:lastPrinted>2021-11-05T13:06:54Z</cp:lastPrinted>
  <dcterms:created xsi:type="dcterms:W3CDTF">2016-12-06T12:20:05Z</dcterms:created>
  <dcterms:modified xsi:type="dcterms:W3CDTF">2021-11-05T13:13:33Z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0x0101001FCD4C7BC2AC7C4DA5E991E0AD4B25D6</vt:lpwstr>
  </property>
</Properties>
</file>