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codeName="TämäTyökirja"/>
  <mc:AlternateContent xmlns:mc="http://schemas.openxmlformats.org/markup-compatibility/2006">
    <mc:Choice Requires="x15">
      <x15ac:absPath xmlns:x15ac="http://schemas.microsoft.com/office/spreadsheetml/2010/11/ac" url="C:\Users\tkarsikas\OneDrive - Atria\Tiedostot\Katelaskelmat\Säilörehun tuotantokustannus\"/>
    </mc:Choice>
  </mc:AlternateContent>
  <xr:revisionPtr revIDLastSave="0" documentId="13_ncr:1_{3C9D741C-7C62-4790-9340-CF775AEF3F85}" xr6:coauthVersionLast="46" xr6:coauthVersionMax="46" xr10:uidLastSave="{00000000-0000-0000-0000-000000000000}"/>
  <bookViews>
    <workbookView xWindow="-108" yWindow="-108" windowWidth="23256" windowHeight="12576" tabRatio="819" xr2:uid="{00000000-000D-0000-FFFF-FFFF00000000}"/>
  </bookViews>
  <sheets>
    <sheet name="Saate" sheetId="17" r:id="rId1"/>
    <sheet name="1. Pelto" sheetId="13" r:id="rId2"/>
    <sheet name="2. Sadon määrä" sheetId="16" r:id="rId3"/>
    <sheet name="3. Koneet" sheetId="6" r:id="rId4"/>
    <sheet name="4. Urakointi" sheetId="9" r:id="rId5"/>
    <sheet name="5. Rakennukset" sheetId="11" r:id="rId6"/>
    <sheet name="6. Työmenekki" sheetId="18" r:id="rId7"/>
    <sheet name="7. Laskelma" sheetId="7" r:id="rId8"/>
    <sheet name="Yhteenveto" sheetId="15" r:id="rId9"/>
    <sheet name="Pääoma" sheetId="19" r:id="rId10"/>
    <sheet name="Analyysi" sheetId="20" r:id="rId11"/>
    <sheet name="Tuet" sheetId="8" r:id="rId12"/>
  </sheets>
  <definedNames>
    <definedName name="_xlnm._FilterDatabase" localSheetId="1" hidden="1">'1. Pelto'!$B$75:$J$75</definedName>
    <definedName name="Päätuotantosuunta">Yhteenveto!$B$47:$B$50</definedName>
    <definedName name="Tukialue">Tuet!$I$5:$I$9</definedName>
    <definedName name="_xlnm.Print_Area" localSheetId="1">'1. Pelto'!$A$2:$G$63</definedName>
    <definedName name="_xlnm.Print_Area" localSheetId="3">'3. Koneet'!$A$1:$X$37</definedName>
    <definedName name="_xlnm.Print_Area" localSheetId="5">'5. Rakennukset'!$A$1:$S$16</definedName>
    <definedName name="_xlnm.Print_Area" localSheetId="6">'6. Työmenekki'!$A$1:$U$33</definedName>
    <definedName name="_xlnm.Print_Area" localSheetId="7">'7. Laskelma'!$A$2:$Q$58</definedName>
    <definedName name="_xlnm.Print_Area" localSheetId="0">Saate!$A$1:$L$131</definedName>
    <definedName name="_xlnm.Print_Area" localSheetId="11">Tuet!$A$1:$H$27</definedName>
    <definedName name="_xlnm.Print_Titles" localSheetId="3">'3. Koneet'!$A:$B,'3. Koneet'!$6:$7</definedName>
    <definedName name="_xlnm.Print_Titles" localSheetId="5">'5. Rakennukset'!$B:$B,'5. Rakennukset'!$6:$7</definedName>
    <definedName name="_xlnm.Print_Titles" localSheetId="7">'7. Laskelma'!$A:$A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9" l="1"/>
  <c r="C15" i="20"/>
  <c r="C10" i="20"/>
  <c r="C12" i="20" s="1"/>
  <c r="C18" i="20" l="1"/>
  <c r="C4" i="20"/>
  <c r="C3" i="20"/>
  <c r="F15" i="16"/>
  <c r="H18" i="16"/>
  <c r="J18" i="16"/>
  <c r="L18" i="16"/>
  <c r="L7" i="16"/>
  <c r="L8" i="16"/>
  <c r="L9" i="16"/>
  <c r="L10" i="16"/>
  <c r="L11" i="16"/>
  <c r="L12" i="16"/>
  <c r="L13" i="16"/>
  <c r="L14" i="16"/>
  <c r="L15" i="16"/>
  <c r="L16" i="16"/>
  <c r="L17" i="16"/>
  <c r="L19" i="16"/>
  <c r="L20" i="16"/>
  <c r="L21" i="16"/>
  <c r="L6" i="16"/>
  <c r="M18" i="16" l="1"/>
  <c r="C23" i="18"/>
  <c r="E16" i="18"/>
  <c r="F16" i="18" s="1"/>
  <c r="C10" i="19" l="1"/>
  <c r="L2" i="11"/>
  <c r="F4" i="6"/>
  <c r="C4" i="6"/>
  <c r="E22" i="18"/>
  <c r="A5" i="7"/>
  <c r="C23" i="16"/>
  <c r="E24" i="13" l="1"/>
  <c r="F6" i="19" s="1"/>
  <c r="G25" i="6"/>
  <c r="B25" i="13"/>
  <c r="E8" i="11"/>
  <c r="D8" i="11"/>
  <c r="E32" i="13"/>
  <c r="E33" i="13" s="1"/>
  <c r="E34" i="13" l="1"/>
  <c r="C8" i="11" s="1"/>
  <c r="G12" i="6"/>
  <c r="L22" i="6" l="1"/>
  <c r="L23" i="6"/>
  <c r="L24" i="6"/>
  <c r="L25" i="6"/>
  <c r="L26" i="6"/>
  <c r="L27" i="6"/>
  <c r="L28" i="6"/>
  <c r="L29" i="6"/>
  <c r="L30" i="6"/>
  <c r="L31" i="6"/>
  <c r="L32" i="6"/>
  <c r="L33" i="6"/>
  <c r="L34" i="6"/>
  <c r="L35" i="6"/>
  <c r="L36" i="6"/>
  <c r="L37" i="6"/>
  <c r="L9" i="6"/>
  <c r="L10" i="6"/>
  <c r="L11" i="6"/>
  <c r="L12" i="6"/>
  <c r="L13" i="6"/>
  <c r="L14" i="6"/>
  <c r="L15" i="6"/>
  <c r="L16" i="6"/>
  <c r="L17" i="6"/>
  <c r="L18" i="6"/>
  <c r="L19" i="6"/>
  <c r="L20" i="6"/>
  <c r="L21" i="6"/>
  <c r="L8" i="6"/>
  <c r="H11" i="6"/>
  <c r="H12" i="6"/>
  <c r="H13" i="6"/>
  <c r="H14" i="6"/>
  <c r="H15" i="6"/>
  <c r="H16" i="6"/>
  <c r="H17" i="6"/>
  <c r="H18" i="6"/>
  <c r="H19" i="6"/>
  <c r="H20" i="6"/>
  <c r="H21" i="6"/>
  <c r="H22" i="6"/>
  <c r="H23" i="6"/>
  <c r="H24" i="6"/>
  <c r="H25" i="6"/>
  <c r="H26" i="6"/>
  <c r="H27" i="6"/>
  <c r="H28" i="6"/>
  <c r="H29" i="6"/>
  <c r="H30" i="6"/>
  <c r="H31" i="6"/>
  <c r="H32" i="6"/>
  <c r="H33" i="6"/>
  <c r="H34" i="6"/>
  <c r="H35" i="6"/>
  <c r="H36" i="6"/>
  <c r="H37" i="6"/>
  <c r="H10" i="6"/>
  <c r="H9" i="6"/>
  <c r="H8" i="6"/>
  <c r="L7" i="6" l="1"/>
  <c r="F6" i="6" s="1"/>
  <c r="D39" i="7"/>
  <c r="F8" i="16"/>
  <c r="D22" i="7" l="1"/>
  <c r="E19" i="18" l="1"/>
  <c r="F19" i="18" s="1"/>
  <c r="E20" i="18"/>
  <c r="F20" i="18" s="1"/>
  <c r="E18" i="18"/>
  <c r="F18" i="18" s="1"/>
  <c r="E9" i="18"/>
  <c r="F9" i="18" s="1"/>
  <c r="E21" i="18" l="1"/>
  <c r="F21" i="18" s="1"/>
  <c r="E15" i="18" l="1"/>
  <c r="F15" i="18" s="1"/>
  <c r="B34" i="7"/>
  <c r="E5" i="18"/>
  <c r="F5" i="18" s="1"/>
  <c r="F6" i="16"/>
  <c r="H14" i="16"/>
  <c r="J14" i="16" s="1"/>
  <c r="M14" i="16" s="1"/>
  <c r="H15" i="16"/>
  <c r="F16" i="16"/>
  <c r="H16" i="16" s="1"/>
  <c r="J16" i="16" s="1"/>
  <c r="M16" i="16" s="1"/>
  <c r="F17" i="16"/>
  <c r="H17" i="16" s="1"/>
  <c r="J17" i="16" s="1"/>
  <c r="M17" i="16" s="1"/>
  <c r="H19" i="16"/>
  <c r="J19" i="16" s="1"/>
  <c r="M19" i="16" s="1"/>
  <c r="H20" i="16"/>
  <c r="J20" i="16" s="1"/>
  <c r="M20" i="16" s="1"/>
  <c r="H21" i="16"/>
  <c r="J21" i="16" s="1"/>
  <c r="M21" i="16" s="1"/>
  <c r="F7" i="16"/>
  <c r="H7" i="16" s="1"/>
  <c r="J7" i="16" s="1"/>
  <c r="M7" i="16" s="1"/>
  <c r="H8" i="16"/>
  <c r="J8" i="16" s="1"/>
  <c r="M8" i="16" s="1"/>
  <c r="F9" i="16"/>
  <c r="H9" i="16" s="1"/>
  <c r="J9" i="16" s="1"/>
  <c r="M9" i="16" s="1"/>
  <c r="F10" i="16"/>
  <c r="H10" i="16" s="1"/>
  <c r="J10" i="16" s="1"/>
  <c r="M10" i="16" s="1"/>
  <c r="F11" i="16"/>
  <c r="H11" i="16" s="1"/>
  <c r="J11" i="16" s="1"/>
  <c r="M11" i="16" s="1"/>
  <c r="H12" i="16"/>
  <c r="J12" i="16" s="1"/>
  <c r="M12" i="16" s="1"/>
  <c r="H13" i="16"/>
  <c r="J13" i="16" s="1"/>
  <c r="M13" i="16" s="1"/>
  <c r="F22" i="16" l="1"/>
  <c r="F23" i="16" s="1"/>
  <c r="J15" i="16"/>
  <c r="M15" i="16" s="1"/>
  <c r="H6" i="16"/>
  <c r="H22" i="16" s="1"/>
  <c r="D8" i="7" s="1"/>
  <c r="G22" i="16" l="1"/>
  <c r="H23" i="16"/>
  <c r="J6" i="16"/>
  <c r="M6" i="16" l="1"/>
  <c r="M22" i="16" s="1"/>
  <c r="D11" i="7" s="1"/>
  <c r="J22" i="16"/>
  <c r="D9" i="7" s="1"/>
  <c r="F5" i="19"/>
  <c r="I22" i="16" l="1"/>
  <c r="C9" i="7" s="1"/>
  <c r="J23" i="16"/>
  <c r="M23" i="16"/>
  <c r="L22" i="16"/>
  <c r="E17" i="18"/>
  <c r="E14" i="18"/>
  <c r="E4" i="18"/>
  <c r="E13" i="18"/>
  <c r="E12" i="18"/>
  <c r="E11" i="18"/>
  <c r="E10" i="18"/>
  <c r="E6" i="18"/>
  <c r="E8" i="18"/>
  <c r="E7" i="18"/>
  <c r="K22" i="16" l="1"/>
  <c r="D10" i="7" s="1"/>
  <c r="C11" i="7"/>
  <c r="I8" i="11"/>
  <c r="P8" i="11" s="1"/>
  <c r="E37" i="13" s="1"/>
  <c r="C4" i="11"/>
  <c r="F7" i="18"/>
  <c r="F10" i="18"/>
  <c r="F11" i="18"/>
  <c r="F12" i="18"/>
  <c r="F13" i="18"/>
  <c r="F4" i="18"/>
  <c r="F22" i="18"/>
  <c r="F14" i="18"/>
  <c r="F17" i="18"/>
  <c r="F23" i="18" s="1"/>
  <c r="F8" i="18"/>
  <c r="F6" i="18"/>
  <c r="F26" i="18" l="1"/>
  <c r="B33" i="7" s="1"/>
  <c r="E36" i="13"/>
  <c r="C6" i="19" s="1"/>
  <c r="F8" i="9"/>
  <c r="E11" i="19" l="1"/>
  <c r="G15" i="7"/>
  <c r="K15" i="7" s="1"/>
  <c r="F18" i="9" l="1"/>
  <c r="F17" i="9"/>
  <c r="F16" i="9"/>
  <c r="F15" i="9"/>
  <c r="F14" i="9"/>
  <c r="F13" i="9"/>
  <c r="F12" i="9"/>
  <c r="F11" i="9"/>
  <c r="F10" i="9"/>
  <c r="F9" i="9"/>
  <c r="G17" i="8"/>
  <c r="F17" i="8"/>
  <c r="E17" i="8"/>
  <c r="D17" i="8"/>
  <c r="C17" i="8"/>
  <c r="C15" i="15"/>
  <c r="C8" i="15"/>
  <c r="K15" i="11"/>
  <c r="I15" i="11"/>
  <c r="P15" i="11" s="1"/>
  <c r="G15" i="11"/>
  <c r="K14" i="11"/>
  <c r="I14" i="11"/>
  <c r="P14" i="11" s="1"/>
  <c r="G14" i="11"/>
  <c r="K13" i="11"/>
  <c r="I13" i="11"/>
  <c r="P13" i="11" s="1"/>
  <c r="G13" i="11"/>
  <c r="K12" i="11"/>
  <c r="I12" i="11"/>
  <c r="P12" i="11" s="1"/>
  <c r="G12" i="11"/>
  <c r="K11" i="11"/>
  <c r="I11" i="11"/>
  <c r="P11" i="11" s="1"/>
  <c r="G11" i="11"/>
  <c r="K10" i="11"/>
  <c r="I10" i="11"/>
  <c r="P10" i="11" s="1"/>
  <c r="G10" i="11"/>
  <c r="K9" i="11"/>
  <c r="I9" i="11"/>
  <c r="G9" i="11"/>
  <c r="K8" i="11"/>
  <c r="F7" i="11"/>
  <c r="Q7" i="11" s="1"/>
  <c r="J6" i="11"/>
  <c r="M37" i="6"/>
  <c r="Y37" i="6" s="1"/>
  <c r="X37" i="6" s="1"/>
  <c r="K37" i="6"/>
  <c r="G37" i="6"/>
  <c r="T37" i="6" s="1"/>
  <c r="U37" i="6" s="1"/>
  <c r="M36" i="6"/>
  <c r="Y36" i="6" s="1"/>
  <c r="X36" i="6" s="1"/>
  <c r="K36" i="6"/>
  <c r="G36" i="6"/>
  <c r="T36" i="6" s="1"/>
  <c r="U36" i="6" s="1"/>
  <c r="M35" i="6"/>
  <c r="Y35" i="6" s="1"/>
  <c r="X35" i="6" s="1"/>
  <c r="K35" i="6"/>
  <c r="G35" i="6"/>
  <c r="T35" i="6" s="1"/>
  <c r="U35" i="6" s="1"/>
  <c r="M34" i="6"/>
  <c r="Y34" i="6" s="1"/>
  <c r="X34" i="6" s="1"/>
  <c r="K34" i="6"/>
  <c r="G34" i="6"/>
  <c r="T34" i="6" s="1"/>
  <c r="U34" i="6" s="1"/>
  <c r="M33" i="6"/>
  <c r="Y33" i="6" s="1"/>
  <c r="X33" i="6" s="1"/>
  <c r="K33" i="6"/>
  <c r="G33" i="6"/>
  <c r="T33" i="6" s="1"/>
  <c r="U33" i="6" s="1"/>
  <c r="M32" i="6"/>
  <c r="Y32" i="6" s="1"/>
  <c r="X32" i="6" s="1"/>
  <c r="K32" i="6"/>
  <c r="G32" i="6"/>
  <c r="T32" i="6" s="1"/>
  <c r="U32" i="6" s="1"/>
  <c r="M31" i="6"/>
  <c r="Y31" i="6" s="1"/>
  <c r="X31" i="6" s="1"/>
  <c r="K31" i="6"/>
  <c r="G31" i="6"/>
  <c r="T31" i="6" s="1"/>
  <c r="U31" i="6" s="1"/>
  <c r="M30" i="6"/>
  <c r="Y30" i="6" s="1"/>
  <c r="X30" i="6" s="1"/>
  <c r="K30" i="6"/>
  <c r="G30" i="6"/>
  <c r="T30" i="6" s="1"/>
  <c r="U30" i="6" s="1"/>
  <c r="M29" i="6"/>
  <c r="Y29" i="6" s="1"/>
  <c r="X29" i="6" s="1"/>
  <c r="K29" i="6"/>
  <c r="G29" i="6"/>
  <c r="T29" i="6" s="1"/>
  <c r="U29" i="6" s="1"/>
  <c r="M28" i="6"/>
  <c r="Y28" i="6" s="1"/>
  <c r="X28" i="6" s="1"/>
  <c r="K28" i="6"/>
  <c r="G28" i="6"/>
  <c r="T28" i="6" s="1"/>
  <c r="U28" i="6" s="1"/>
  <c r="M27" i="6"/>
  <c r="Y27" i="6" s="1"/>
  <c r="X27" i="6" s="1"/>
  <c r="K27" i="6"/>
  <c r="G27" i="6"/>
  <c r="T27" i="6" s="1"/>
  <c r="U27" i="6" s="1"/>
  <c r="M26" i="6"/>
  <c r="Y26" i="6" s="1"/>
  <c r="X26" i="6" s="1"/>
  <c r="K26" i="6"/>
  <c r="G26" i="6"/>
  <c r="T26" i="6" s="1"/>
  <c r="U26" i="6" s="1"/>
  <c r="M25" i="6"/>
  <c r="Y25" i="6" s="1"/>
  <c r="X25" i="6" s="1"/>
  <c r="K25" i="6"/>
  <c r="T25" i="6"/>
  <c r="U25" i="6" s="1"/>
  <c r="M24" i="6"/>
  <c r="Y24" i="6" s="1"/>
  <c r="X24" i="6" s="1"/>
  <c r="K24" i="6"/>
  <c r="G24" i="6"/>
  <c r="T24" i="6" s="1"/>
  <c r="U24" i="6" s="1"/>
  <c r="M23" i="6"/>
  <c r="Y23" i="6" s="1"/>
  <c r="X23" i="6" s="1"/>
  <c r="K23" i="6"/>
  <c r="G23" i="6"/>
  <c r="T23" i="6" s="1"/>
  <c r="U23" i="6" s="1"/>
  <c r="M22" i="6"/>
  <c r="Y22" i="6" s="1"/>
  <c r="X22" i="6" s="1"/>
  <c r="K22" i="6"/>
  <c r="G22" i="6"/>
  <c r="T22" i="6" s="1"/>
  <c r="U22" i="6" s="1"/>
  <c r="M21" i="6"/>
  <c r="Y21" i="6" s="1"/>
  <c r="X21" i="6" s="1"/>
  <c r="K21" i="6"/>
  <c r="G21" i="6"/>
  <c r="T21" i="6" s="1"/>
  <c r="U21" i="6" s="1"/>
  <c r="M20" i="6"/>
  <c r="Y20" i="6" s="1"/>
  <c r="X20" i="6" s="1"/>
  <c r="K20" i="6"/>
  <c r="G20" i="6"/>
  <c r="T20" i="6" s="1"/>
  <c r="U20" i="6" s="1"/>
  <c r="M19" i="6"/>
  <c r="Y19" i="6" s="1"/>
  <c r="X19" i="6" s="1"/>
  <c r="K19" i="6"/>
  <c r="G19" i="6"/>
  <c r="T19" i="6" s="1"/>
  <c r="M18" i="6"/>
  <c r="Y18" i="6" s="1"/>
  <c r="X18" i="6" s="1"/>
  <c r="K18" i="6"/>
  <c r="G18" i="6"/>
  <c r="T18" i="6" s="1"/>
  <c r="U18" i="6" s="1"/>
  <c r="M17" i="6"/>
  <c r="Y17" i="6" s="1"/>
  <c r="X17" i="6" s="1"/>
  <c r="K17" i="6"/>
  <c r="G17" i="6"/>
  <c r="T17" i="6" s="1"/>
  <c r="U17" i="6" s="1"/>
  <c r="M16" i="6"/>
  <c r="Y16" i="6" s="1"/>
  <c r="X16" i="6" s="1"/>
  <c r="K16" i="6"/>
  <c r="G16" i="6"/>
  <c r="T16" i="6" s="1"/>
  <c r="U16" i="6" s="1"/>
  <c r="M15" i="6"/>
  <c r="Y15" i="6" s="1"/>
  <c r="X15" i="6" s="1"/>
  <c r="K15" i="6"/>
  <c r="G15" i="6"/>
  <c r="T15" i="6" s="1"/>
  <c r="U15" i="6" s="1"/>
  <c r="M14" i="6"/>
  <c r="Y14" i="6" s="1"/>
  <c r="X14" i="6" s="1"/>
  <c r="K14" i="6"/>
  <c r="G14" i="6"/>
  <c r="T14" i="6" s="1"/>
  <c r="U14" i="6" s="1"/>
  <c r="M13" i="6"/>
  <c r="Y13" i="6" s="1"/>
  <c r="X13" i="6" s="1"/>
  <c r="K13" i="6"/>
  <c r="G13" i="6"/>
  <c r="T13" i="6" s="1"/>
  <c r="U13" i="6" s="1"/>
  <c r="M12" i="6"/>
  <c r="Y12" i="6" s="1"/>
  <c r="X12" i="6" s="1"/>
  <c r="K12" i="6"/>
  <c r="T12" i="6"/>
  <c r="U12" i="6" s="1"/>
  <c r="M11" i="6"/>
  <c r="Y11" i="6" s="1"/>
  <c r="X11" i="6" s="1"/>
  <c r="K11" i="6"/>
  <c r="G11" i="6"/>
  <c r="T11" i="6" s="1"/>
  <c r="U11" i="6" s="1"/>
  <c r="M10" i="6"/>
  <c r="Y10" i="6" s="1"/>
  <c r="X10" i="6" s="1"/>
  <c r="K10" i="6"/>
  <c r="G10" i="6"/>
  <c r="T10" i="6" s="1"/>
  <c r="U10" i="6" s="1"/>
  <c r="M9" i="6"/>
  <c r="Y9" i="6" s="1"/>
  <c r="K9" i="6"/>
  <c r="G9" i="6"/>
  <c r="T9" i="6" s="1"/>
  <c r="U9" i="6" s="1"/>
  <c r="M8" i="6"/>
  <c r="K8" i="6"/>
  <c r="G8" i="6"/>
  <c r="T8" i="6" s="1"/>
  <c r="U8" i="6" s="1"/>
  <c r="J7" i="6"/>
  <c r="AA7" i="6" s="1"/>
  <c r="N6" i="6"/>
  <c r="N8" i="6" s="1"/>
  <c r="C29" i="7"/>
  <c r="D27" i="7"/>
  <c r="D26" i="7"/>
  <c r="G19" i="7"/>
  <c r="K19" i="7" s="1"/>
  <c r="O15" i="7"/>
  <c r="D15" i="7"/>
  <c r="H10" i="7"/>
  <c r="G9" i="7"/>
  <c r="B23" i="7"/>
  <c r="P7" i="7"/>
  <c r="O29" i="7" s="1"/>
  <c r="L7" i="7"/>
  <c r="K29" i="7" s="1"/>
  <c r="H7" i="7"/>
  <c r="D6" i="7"/>
  <c r="L6" i="7" s="1"/>
  <c r="P6" i="7" s="1"/>
  <c r="L5" i="7"/>
  <c r="P5" i="7" s="1"/>
  <c r="A2" i="7"/>
  <c r="B62" i="13"/>
  <c r="B61" i="13"/>
  <c r="E60" i="13"/>
  <c r="B60" i="13"/>
  <c r="C55" i="13"/>
  <c r="E55" i="13" s="1"/>
  <c r="C54" i="13"/>
  <c r="E54" i="13" s="1"/>
  <c r="C53" i="13"/>
  <c r="E53" i="13" s="1"/>
  <c r="C52" i="13"/>
  <c r="C51" i="13"/>
  <c r="C50" i="13"/>
  <c r="C49" i="13"/>
  <c r="C48" i="13"/>
  <c r="C47" i="13"/>
  <c r="C46" i="13"/>
  <c r="C45" i="13"/>
  <c r="C44" i="13"/>
  <c r="E21" i="13"/>
  <c r="C46" i="7" s="1"/>
  <c r="E20" i="13"/>
  <c r="C5" i="19" s="1"/>
  <c r="B17" i="13"/>
  <c r="B16" i="13"/>
  <c r="B14" i="13"/>
  <c r="E13" i="13"/>
  <c r="D24" i="13" s="1"/>
  <c r="E25" i="13" s="1"/>
  <c r="E8" i="13"/>
  <c r="M2" i="11" s="1"/>
  <c r="B8" i="13"/>
  <c r="B6" i="13"/>
  <c r="G11" i="7" l="1"/>
  <c r="L10" i="7"/>
  <c r="K11" i="7" s="1"/>
  <c r="K9" i="7"/>
  <c r="Z11" i="6"/>
  <c r="Z13" i="6"/>
  <c r="Z15" i="6"/>
  <c r="Z17" i="6"/>
  <c r="AA17" i="6" s="1"/>
  <c r="Z19" i="6"/>
  <c r="AA19" i="6" s="1"/>
  <c r="Z21" i="6"/>
  <c r="AB21" i="6" s="1"/>
  <c r="Z23" i="6"/>
  <c r="Z25" i="6"/>
  <c r="AA25" i="6" s="1"/>
  <c r="Z27" i="6"/>
  <c r="Z29" i="6"/>
  <c r="Z31" i="6"/>
  <c r="Z33" i="6"/>
  <c r="AB33" i="6" s="1"/>
  <c r="Z35" i="6"/>
  <c r="AA35" i="6" s="1"/>
  <c r="Z37" i="6"/>
  <c r="AA37" i="6" s="1"/>
  <c r="Z12" i="6"/>
  <c r="Z14" i="6"/>
  <c r="AA14" i="6" s="1"/>
  <c r="Z16" i="6"/>
  <c r="Z18" i="6"/>
  <c r="Z20" i="6"/>
  <c r="AB20" i="6" s="1"/>
  <c r="Z22" i="6"/>
  <c r="Z24" i="6"/>
  <c r="AB24" i="6" s="1"/>
  <c r="Z26" i="6"/>
  <c r="AB26" i="6" s="1"/>
  <c r="Z28" i="6"/>
  <c r="AB28" i="6" s="1"/>
  <c r="Z30" i="6"/>
  <c r="AB30" i="6" s="1"/>
  <c r="Z32" i="6"/>
  <c r="Z34" i="6"/>
  <c r="Z36" i="6"/>
  <c r="AB36" i="6" s="1"/>
  <c r="F8" i="11"/>
  <c r="D25" i="13"/>
  <c r="D7" i="13"/>
  <c r="E14" i="13"/>
  <c r="D11" i="13"/>
  <c r="E16" i="13" s="1"/>
  <c r="D12" i="13"/>
  <c r="E41" i="13"/>
  <c r="D47" i="13" s="1"/>
  <c r="E47" i="13" s="1"/>
  <c r="C45" i="7"/>
  <c r="F27" i="18"/>
  <c r="D4" i="19"/>
  <c r="AA2" i="6"/>
  <c r="D5" i="7"/>
  <c r="J2" i="6"/>
  <c r="F21" i="9"/>
  <c r="D6" i="13"/>
  <c r="E10" i="19"/>
  <c r="X9" i="6"/>
  <c r="Z9" i="6"/>
  <c r="AB9" i="6" s="1"/>
  <c r="Y8" i="6"/>
  <c r="Y4" i="6" s="1"/>
  <c r="M4" i="6"/>
  <c r="E4" i="6" s="1"/>
  <c r="N37" i="6"/>
  <c r="O37" i="6" s="1"/>
  <c r="P37" i="6" s="1"/>
  <c r="O8" i="6"/>
  <c r="P8" i="6" s="1"/>
  <c r="Q8" i="6" s="1"/>
  <c r="J11" i="11"/>
  <c r="L11" i="11" s="1"/>
  <c r="J8" i="11"/>
  <c r="I4" i="11"/>
  <c r="P9" i="11"/>
  <c r="P4" i="11" s="1"/>
  <c r="E13" i="19" s="1"/>
  <c r="AB12" i="6"/>
  <c r="AA12" i="6"/>
  <c r="AB14" i="6"/>
  <c r="AB16" i="6"/>
  <c r="AA16" i="6"/>
  <c r="AB18" i="6"/>
  <c r="AA18" i="6"/>
  <c r="AA21" i="6"/>
  <c r="AA23" i="6"/>
  <c r="AB23" i="6"/>
  <c r="AA27" i="6"/>
  <c r="AB27" i="6"/>
  <c r="AA29" i="6"/>
  <c r="AB29" i="6"/>
  <c r="AA31" i="6"/>
  <c r="AB31" i="6"/>
  <c r="AB32" i="6"/>
  <c r="AA32" i="6"/>
  <c r="AB34" i="6"/>
  <c r="AA34" i="6"/>
  <c r="AA11" i="6"/>
  <c r="AB11" i="6"/>
  <c r="AA13" i="6"/>
  <c r="AB13" i="6"/>
  <c r="AA15" i="6"/>
  <c r="AB15" i="6"/>
  <c r="AB22" i="6"/>
  <c r="AA22" i="6"/>
  <c r="K4" i="11"/>
  <c r="D23" i="7"/>
  <c r="O19" i="7"/>
  <c r="H6" i="7"/>
  <c r="J15" i="11"/>
  <c r="L15" i="11" s="1"/>
  <c r="M15" i="11" s="1"/>
  <c r="Q10" i="11"/>
  <c r="R10" i="11"/>
  <c r="Q11" i="11"/>
  <c r="R11" i="11"/>
  <c r="R12" i="11"/>
  <c r="Q12" i="11"/>
  <c r="Q13" i="11"/>
  <c r="R13" i="11"/>
  <c r="R14" i="11"/>
  <c r="Q14" i="11"/>
  <c r="Q15" i="11"/>
  <c r="R15" i="11"/>
  <c r="J12" i="11"/>
  <c r="L12" i="11" s="1"/>
  <c r="J9" i="11"/>
  <c r="L9" i="11" s="1"/>
  <c r="J13" i="11"/>
  <c r="L13" i="11" s="1"/>
  <c r="J10" i="11"/>
  <c r="L10" i="11" s="1"/>
  <c r="J14" i="11"/>
  <c r="L14" i="11" s="1"/>
  <c r="M7" i="11"/>
  <c r="V8" i="6"/>
  <c r="W8" i="6"/>
  <c r="V9" i="6"/>
  <c r="W9" i="6"/>
  <c r="V10" i="6"/>
  <c r="W10" i="6"/>
  <c r="V11" i="6"/>
  <c r="W11" i="6"/>
  <c r="W12" i="6"/>
  <c r="V12" i="6"/>
  <c r="V13" i="6"/>
  <c r="W13" i="6"/>
  <c r="W14" i="6"/>
  <c r="V14" i="6"/>
  <c r="V15" i="6"/>
  <c r="W15" i="6"/>
  <c r="V16" i="6"/>
  <c r="W16" i="6"/>
  <c r="V17" i="6"/>
  <c r="W17" i="6"/>
  <c r="W18" i="6"/>
  <c r="V18" i="6"/>
  <c r="W20" i="6"/>
  <c r="V20" i="6"/>
  <c r="V21" i="6"/>
  <c r="W21" i="6"/>
  <c r="V22" i="6"/>
  <c r="W22" i="6"/>
  <c r="V23" i="6"/>
  <c r="W23" i="6"/>
  <c r="W24" i="6"/>
  <c r="V24" i="6"/>
  <c r="V25" i="6"/>
  <c r="W25" i="6"/>
  <c r="W26" i="6"/>
  <c r="V26" i="6"/>
  <c r="V27" i="6"/>
  <c r="W27" i="6"/>
  <c r="V28" i="6"/>
  <c r="W28" i="6"/>
  <c r="V29" i="6"/>
  <c r="W29" i="6"/>
  <c r="W30" i="6"/>
  <c r="V30" i="6"/>
  <c r="V31" i="6"/>
  <c r="W31" i="6"/>
  <c r="V32" i="6"/>
  <c r="W32" i="6"/>
  <c r="V33" i="6"/>
  <c r="W33" i="6"/>
  <c r="W34" i="6"/>
  <c r="V34" i="6"/>
  <c r="V35" i="6"/>
  <c r="W35" i="6"/>
  <c r="W36" i="6"/>
  <c r="V36" i="6"/>
  <c r="V37" i="6"/>
  <c r="W37" i="6"/>
  <c r="N30" i="6"/>
  <c r="O30" i="6" s="1"/>
  <c r="P30" i="6" s="1"/>
  <c r="N11" i="6"/>
  <c r="O11" i="6" s="1"/>
  <c r="P11" i="6" s="1"/>
  <c r="N19" i="6"/>
  <c r="O19" i="6" s="1"/>
  <c r="P19" i="6" s="1"/>
  <c r="N32" i="6"/>
  <c r="O32" i="6" s="1"/>
  <c r="P32" i="6" s="1"/>
  <c r="G4" i="6"/>
  <c r="N22" i="6"/>
  <c r="O22" i="6" s="1"/>
  <c r="P22" i="6" s="1"/>
  <c r="Z10" i="6"/>
  <c r="N14" i="6"/>
  <c r="O14" i="6" s="1"/>
  <c r="P14" i="6" s="1"/>
  <c r="N15" i="6"/>
  <c r="O15" i="6" s="1"/>
  <c r="P15" i="6" s="1"/>
  <c r="N20" i="6"/>
  <c r="O20" i="6" s="1"/>
  <c r="P20" i="6" s="1"/>
  <c r="N26" i="6"/>
  <c r="O26" i="6" s="1"/>
  <c r="P26" i="6" s="1"/>
  <c r="N28" i="6"/>
  <c r="O28" i="6" s="1"/>
  <c r="P28" i="6" s="1"/>
  <c r="N35" i="6"/>
  <c r="O35" i="6" s="1"/>
  <c r="P35" i="6" s="1"/>
  <c r="N10" i="6"/>
  <c r="O10" i="6" s="1"/>
  <c r="P10" i="6" s="1"/>
  <c r="Q10" i="6" s="1"/>
  <c r="N12" i="6"/>
  <c r="O12" i="6" s="1"/>
  <c r="P12" i="6" s="1"/>
  <c r="N18" i="6"/>
  <c r="O18" i="6" s="1"/>
  <c r="P18" i="6" s="1"/>
  <c r="Q18" i="6" s="1"/>
  <c r="N23" i="6"/>
  <c r="O23" i="6" s="1"/>
  <c r="P23" i="6" s="1"/>
  <c r="N24" i="6"/>
  <c r="O24" i="6" s="1"/>
  <c r="P24" i="6" s="1"/>
  <c r="N31" i="6"/>
  <c r="O31" i="6" s="1"/>
  <c r="P31" i="6" s="1"/>
  <c r="N16" i="6"/>
  <c r="O16" i="6" s="1"/>
  <c r="P16" i="6" s="1"/>
  <c r="N27" i="6"/>
  <c r="O27" i="6" s="1"/>
  <c r="P27" i="6" s="1"/>
  <c r="N34" i="6"/>
  <c r="O34" i="6" s="1"/>
  <c r="P34" i="6" s="1"/>
  <c r="N36" i="6"/>
  <c r="O36" i="6" s="1"/>
  <c r="P36" i="6" s="1"/>
  <c r="N9" i="6"/>
  <c r="O9" i="6" s="1"/>
  <c r="P9" i="6" s="1"/>
  <c r="Q9" i="6" s="1"/>
  <c r="N13" i="6"/>
  <c r="O13" i="6" s="1"/>
  <c r="P13" i="6" s="1"/>
  <c r="N17" i="6"/>
  <c r="O17" i="6" s="1"/>
  <c r="P17" i="6" s="1"/>
  <c r="N21" i="6"/>
  <c r="O21" i="6" s="1"/>
  <c r="P21" i="6" s="1"/>
  <c r="N25" i="6"/>
  <c r="O25" i="6" s="1"/>
  <c r="P25" i="6" s="1"/>
  <c r="N29" i="6"/>
  <c r="O29" i="6" s="1"/>
  <c r="P29" i="6" s="1"/>
  <c r="N33" i="6"/>
  <c r="O33" i="6" s="1"/>
  <c r="P33" i="6" s="1"/>
  <c r="F19" i="9"/>
  <c r="U19" i="6"/>
  <c r="T4" i="6"/>
  <c r="Q7" i="6"/>
  <c r="V7" i="6"/>
  <c r="P10" i="7" l="1"/>
  <c r="O11" i="7" s="1"/>
  <c r="P11" i="7" s="1"/>
  <c r="F28" i="18"/>
  <c r="C31" i="15" s="1"/>
  <c r="H27" i="7"/>
  <c r="H8" i="7"/>
  <c r="H9" i="7"/>
  <c r="O9" i="7"/>
  <c r="AA28" i="6"/>
  <c r="AA9" i="6"/>
  <c r="AB19" i="6"/>
  <c r="AB35" i="6"/>
  <c r="AA30" i="6"/>
  <c r="AA26" i="6"/>
  <c r="AB25" i="6"/>
  <c r="AB17" i="6"/>
  <c r="AB37" i="6"/>
  <c r="AA33" i="6"/>
  <c r="AA20" i="6"/>
  <c r="AA36" i="6"/>
  <c r="AA24" i="6"/>
  <c r="F37" i="7"/>
  <c r="J37" i="7" s="1"/>
  <c r="N37" i="7" s="1"/>
  <c r="N15" i="11"/>
  <c r="K2" i="6"/>
  <c r="I2" i="6" s="1"/>
  <c r="AB2" i="6"/>
  <c r="Z2" i="6" s="1"/>
  <c r="N2" i="11"/>
  <c r="E4" i="19"/>
  <c r="D23" i="19" s="1"/>
  <c r="D51" i="13"/>
  <c r="E51" i="13" s="1"/>
  <c r="D16" i="13"/>
  <c r="E17" i="13"/>
  <c r="B46" i="7" s="1"/>
  <c r="D46" i="7" s="1"/>
  <c r="H46" i="7" s="1"/>
  <c r="D17" i="13"/>
  <c r="D49" i="13"/>
  <c r="D50" i="13" s="1"/>
  <c r="E50" i="13" s="1"/>
  <c r="F22" i="9"/>
  <c r="D52" i="13"/>
  <c r="E52" i="13" s="1"/>
  <c r="D48" i="13"/>
  <c r="E48" i="13" s="1"/>
  <c r="D45" i="13"/>
  <c r="E45" i="13" s="1"/>
  <c r="D46" i="13"/>
  <c r="E46" i="13" s="1"/>
  <c r="D44" i="13"/>
  <c r="E44" i="13" s="1"/>
  <c r="F44" i="7"/>
  <c r="J44" i="7" s="1"/>
  <c r="N44" i="7" s="1"/>
  <c r="F27" i="7"/>
  <c r="N27" i="7" s="1"/>
  <c r="B47" i="7"/>
  <c r="F47" i="7" s="1"/>
  <c r="J47" i="7" s="1"/>
  <c r="F26" i="7"/>
  <c r="J26" i="7" s="1"/>
  <c r="B21" i="7"/>
  <c r="D21" i="7" s="1"/>
  <c r="H21" i="7" s="1"/>
  <c r="F23" i="7"/>
  <c r="J23" i="7" s="1"/>
  <c r="F40" i="7"/>
  <c r="J40" i="7" s="1"/>
  <c r="C13" i="15"/>
  <c r="B19" i="7"/>
  <c r="D19" i="7" s="1"/>
  <c r="H19" i="7" s="1"/>
  <c r="F35" i="7"/>
  <c r="J35" i="7" s="1"/>
  <c r="N35" i="7" s="1"/>
  <c r="H22" i="7"/>
  <c r="H39" i="7"/>
  <c r="F22" i="7"/>
  <c r="J22" i="7" s="1"/>
  <c r="F4" i="19"/>
  <c r="E23" i="19" s="1"/>
  <c r="D5" i="19"/>
  <c r="B45" i="7"/>
  <c r="F36" i="7"/>
  <c r="J36" i="7" s="1"/>
  <c r="N36" i="7" s="1"/>
  <c r="B20" i="7"/>
  <c r="F20" i="7" s="1"/>
  <c r="B25" i="7"/>
  <c r="D25" i="7" s="1"/>
  <c r="H25" i="7" s="1"/>
  <c r="H23" i="7"/>
  <c r="H26" i="7"/>
  <c r="B38" i="7"/>
  <c r="F39" i="7"/>
  <c r="J39" i="7" s="1"/>
  <c r="N39" i="7" s="1"/>
  <c r="B28" i="7"/>
  <c r="F28" i="7" s="1"/>
  <c r="B14" i="7"/>
  <c r="F14" i="7" s="1"/>
  <c r="J14" i="7" s="1"/>
  <c r="F15" i="7"/>
  <c r="H15" i="7" s="1"/>
  <c r="B24" i="7"/>
  <c r="D24" i="7" s="1"/>
  <c r="H24" i="7" s="1"/>
  <c r="X8" i="6"/>
  <c r="X7" i="6" s="1"/>
  <c r="Z8" i="6"/>
  <c r="Z4" i="6" s="1"/>
  <c r="R9" i="11"/>
  <c r="Q9" i="11"/>
  <c r="AB10" i="6"/>
  <c r="AA10" i="6"/>
  <c r="J4" i="11"/>
  <c r="L8" i="11"/>
  <c r="D33" i="7"/>
  <c r="H33" i="7" s="1"/>
  <c r="F33" i="7"/>
  <c r="F34" i="7"/>
  <c r="J34" i="7" s="1"/>
  <c r="D34" i="7"/>
  <c r="H34" i="7" s="1"/>
  <c r="N12" i="11"/>
  <c r="M12" i="11"/>
  <c r="M11" i="11"/>
  <c r="N11" i="11"/>
  <c r="N13" i="11"/>
  <c r="M13" i="11"/>
  <c r="N14" i="11"/>
  <c r="M14" i="11"/>
  <c r="N9" i="11"/>
  <c r="M9" i="11"/>
  <c r="N10" i="11"/>
  <c r="M10" i="11"/>
  <c r="V19" i="6"/>
  <c r="W19" i="6"/>
  <c r="R13" i="6"/>
  <c r="Q13" i="6"/>
  <c r="Q31" i="6"/>
  <c r="R31" i="6"/>
  <c r="R20" i="6"/>
  <c r="Q20" i="6"/>
  <c r="R32" i="6"/>
  <c r="Q32" i="6"/>
  <c r="R18" i="6"/>
  <c r="R25" i="6"/>
  <c r="Q25" i="6"/>
  <c r="R16" i="6"/>
  <c r="Q16" i="6"/>
  <c r="R24" i="6"/>
  <c r="Q24" i="6"/>
  <c r="R12" i="6"/>
  <c r="Q12" i="6"/>
  <c r="R28" i="6"/>
  <c r="Q28" i="6"/>
  <c r="R15" i="6"/>
  <c r="Q15" i="6"/>
  <c r="R10" i="6"/>
  <c r="R29" i="6"/>
  <c r="Q29" i="6"/>
  <c r="Q27" i="6"/>
  <c r="R27" i="6"/>
  <c r="Q35" i="6"/>
  <c r="R35" i="6"/>
  <c r="Q30" i="6"/>
  <c r="R30" i="6"/>
  <c r="R21" i="6"/>
  <c r="Q21" i="6"/>
  <c r="R36" i="6"/>
  <c r="Q36" i="6"/>
  <c r="Q23" i="6"/>
  <c r="R23" i="6"/>
  <c r="Q26" i="6"/>
  <c r="R26" i="6"/>
  <c r="Q14" i="6"/>
  <c r="R14" i="6"/>
  <c r="Q22" i="6"/>
  <c r="R22" i="6"/>
  <c r="R8" i="6"/>
  <c r="Q19" i="6"/>
  <c r="R19" i="6"/>
  <c r="R33" i="6"/>
  <c r="Q33" i="6"/>
  <c r="R17" i="6"/>
  <c r="Q17" i="6"/>
  <c r="R34" i="6"/>
  <c r="Q34" i="6"/>
  <c r="R37" i="6"/>
  <c r="Q37" i="6"/>
  <c r="R11" i="6"/>
  <c r="Q11" i="6"/>
  <c r="R9" i="6"/>
  <c r="N4" i="6"/>
  <c r="O4" i="6"/>
  <c r="C40" i="7"/>
  <c r="D40" i="7" s="1"/>
  <c r="H40" i="7" s="1"/>
  <c r="U4" i="6"/>
  <c r="P4" i="6"/>
  <c r="C14" i="15" l="1"/>
  <c r="P8" i="7"/>
  <c r="L8" i="7"/>
  <c r="L11" i="7"/>
  <c r="N22" i="7"/>
  <c r="I4" i="6"/>
  <c r="I3" i="6" s="1"/>
  <c r="Z3" i="6"/>
  <c r="G23" i="7"/>
  <c r="O23" i="7" s="1"/>
  <c r="E49" i="13"/>
  <c r="J27" i="7"/>
  <c r="G27" i="7"/>
  <c r="K27" i="7" s="1"/>
  <c r="N23" i="7"/>
  <c r="D6" i="19"/>
  <c r="J15" i="7"/>
  <c r="L15" i="7" s="1"/>
  <c r="F46" i="7"/>
  <c r="J46" i="7" s="1"/>
  <c r="N46" i="7" s="1"/>
  <c r="D20" i="7"/>
  <c r="H20" i="7" s="1"/>
  <c r="G20" i="7" s="1"/>
  <c r="H11" i="7"/>
  <c r="F25" i="7"/>
  <c r="G25" i="7" s="1"/>
  <c r="F19" i="7"/>
  <c r="N19" i="7" s="1"/>
  <c r="P19" i="7" s="1"/>
  <c r="F21" i="7"/>
  <c r="J21" i="7" s="1"/>
  <c r="G26" i="7"/>
  <c r="O26" i="7" s="1"/>
  <c r="N26" i="7"/>
  <c r="G40" i="7"/>
  <c r="O40" i="7" s="1"/>
  <c r="D47" i="7"/>
  <c r="H47" i="7" s="1"/>
  <c r="G47" i="7" s="1"/>
  <c r="K47" i="7" s="1"/>
  <c r="O47" i="7" s="1"/>
  <c r="N40" i="7"/>
  <c r="E56" i="13"/>
  <c r="E58" i="13" s="1"/>
  <c r="E59" i="13" s="1"/>
  <c r="E61" i="13" s="1"/>
  <c r="E62" i="13" s="1"/>
  <c r="G22" i="7"/>
  <c r="K22" i="7" s="1"/>
  <c r="L22" i="7" s="1"/>
  <c r="D28" i="7"/>
  <c r="H28" i="7" s="1"/>
  <c r="G28" i="7" s="1"/>
  <c r="O28" i="7" s="1"/>
  <c r="E22" i="19"/>
  <c r="E19" i="19"/>
  <c r="E20" i="19"/>
  <c r="E5" i="19"/>
  <c r="D10" i="19" s="1"/>
  <c r="D19" i="19" s="1"/>
  <c r="C19" i="19"/>
  <c r="F38" i="7"/>
  <c r="J38" i="7" s="1"/>
  <c r="D38" i="7"/>
  <c r="H38" i="7" s="1"/>
  <c r="M8" i="11"/>
  <c r="M4" i="11" s="1"/>
  <c r="M3" i="11" s="1"/>
  <c r="G39" i="7"/>
  <c r="K39" i="7" s="1"/>
  <c r="O39" i="7" s="1"/>
  <c r="P39" i="7" s="1"/>
  <c r="F24" i="7"/>
  <c r="N24" i="7" s="1"/>
  <c r="D45" i="7"/>
  <c r="H45" i="7" s="1"/>
  <c r="F45" i="7"/>
  <c r="J45" i="7" s="1"/>
  <c r="N45" i="7" s="1"/>
  <c r="AA8" i="6"/>
  <c r="AA4" i="6" s="1"/>
  <c r="AA3" i="6" s="1"/>
  <c r="AB8" i="6"/>
  <c r="AB4" i="6" s="1"/>
  <c r="E12" i="19"/>
  <c r="L4" i="11"/>
  <c r="J33" i="7"/>
  <c r="F41" i="7"/>
  <c r="N20" i="7"/>
  <c r="J20" i="7"/>
  <c r="N14" i="7"/>
  <c r="G34" i="7"/>
  <c r="K34" i="7" s="1"/>
  <c r="O34" i="7" s="1"/>
  <c r="G33" i="7"/>
  <c r="K33" i="7" s="1"/>
  <c r="O33" i="7" s="1"/>
  <c r="N47" i="7"/>
  <c r="O27" i="7"/>
  <c r="P27" i="7" s="1"/>
  <c r="N34" i="7"/>
  <c r="N28" i="7"/>
  <c r="J28" i="7"/>
  <c r="D35" i="7"/>
  <c r="H35" i="7" s="1"/>
  <c r="G35" i="7" s="1"/>
  <c r="K35" i="7" s="1"/>
  <c r="W4" i="6"/>
  <c r="V4" i="6"/>
  <c r="G46" i="7" l="1"/>
  <c r="K46" i="7" s="1"/>
  <c r="L27" i="7"/>
  <c r="L5" i="11"/>
  <c r="L3" i="11"/>
  <c r="I5" i="6"/>
  <c r="P23" i="7"/>
  <c r="K23" i="7"/>
  <c r="L23" i="7" s="1"/>
  <c r="N15" i="7"/>
  <c r="P15" i="7" s="1"/>
  <c r="E6" i="19"/>
  <c r="D11" i="19" s="1"/>
  <c r="D20" i="19" s="1"/>
  <c r="C11" i="19"/>
  <c r="C20" i="19" s="1"/>
  <c r="K40" i="7"/>
  <c r="L40" i="7" s="1"/>
  <c r="G21" i="7"/>
  <c r="K21" i="7" s="1"/>
  <c r="L21" i="7" s="1"/>
  <c r="N21" i="7"/>
  <c r="N25" i="7"/>
  <c r="J19" i="7"/>
  <c r="L19" i="7" s="1"/>
  <c r="J25" i="7"/>
  <c r="P26" i="7"/>
  <c r="O22" i="7"/>
  <c r="P22" i="7" s="1"/>
  <c r="G38" i="7"/>
  <c r="K38" i="7" s="1"/>
  <c r="O38" i="7" s="1"/>
  <c r="K26" i="7"/>
  <c r="L26" i="7" s="1"/>
  <c r="P40" i="7"/>
  <c r="D14" i="7"/>
  <c r="C14" i="7" s="1"/>
  <c r="G14" i="7" s="1"/>
  <c r="G45" i="7"/>
  <c r="K45" i="7" s="1"/>
  <c r="O45" i="7" s="1"/>
  <c r="P45" i="7" s="1"/>
  <c r="J24" i="7"/>
  <c r="G24" i="7"/>
  <c r="K24" i="7" s="1"/>
  <c r="K28" i="7"/>
  <c r="L28" i="7" s="1"/>
  <c r="L47" i="7"/>
  <c r="Q8" i="11"/>
  <c r="Q4" i="11" s="1"/>
  <c r="C13" i="19" s="1"/>
  <c r="C22" i="19" s="1"/>
  <c r="G8" i="11"/>
  <c r="O46" i="7"/>
  <c r="P46" i="7" s="1"/>
  <c r="L46" i="7"/>
  <c r="N38" i="7"/>
  <c r="L39" i="7"/>
  <c r="P28" i="7"/>
  <c r="C12" i="19"/>
  <c r="C21" i="19" s="1"/>
  <c r="C33" i="15" s="1"/>
  <c r="D12" i="19"/>
  <c r="AB3" i="6"/>
  <c r="E21" i="19"/>
  <c r="E24" i="19" s="1"/>
  <c r="E15" i="19"/>
  <c r="E27" i="19" s="1"/>
  <c r="P34" i="7"/>
  <c r="L34" i="7"/>
  <c r="P47" i="7"/>
  <c r="C44" i="7"/>
  <c r="D44" i="7" s="1"/>
  <c r="D48" i="7" s="1"/>
  <c r="O25" i="7"/>
  <c r="K25" i="7"/>
  <c r="J41" i="7"/>
  <c r="L33" i="7"/>
  <c r="N33" i="7"/>
  <c r="K20" i="7"/>
  <c r="L20" i="7" s="1"/>
  <c r="O20" i="7"/>
  <c r="P20" i="7" s="1"/>
  <c r="M5" i="11"/>
  <c r="R4" i="6"/>
  <c r="K4" i="6" s="1"/>
  <c r="Q4" i="6"/>
  <c r="J4" i="6" s="1"/>
  <c r="C18" i="15"/>
  <c r="E18" i="15" s="1"/>
  <c r="L35" i="7"/>
  <c r="O35" i="7"/>
  <c r="P35" i="7" s="1"/>
  <c r="C37" i="7"/>
  <c r="D37" i="7" s="1"/>
  <c r="B29" i="7" s="1"/>
  <c r="C14" i="19" s="1"/>
  <c r="O24" i="7" l="1"/>
  <c r="P24" i="7" s="1"/>
  <c r="J3" i="6"/>
  <c r="J5" i="6"/>
  <c r="P38" i="7"/>
  <c r="O21" i="7"/>
  <c r="P21" i="7" s="1"/>
  <c r="L25" i="7"/>
  <c r="P25" i="7"/>
  <c r="L38" i="7"/>
  <c r="D16" i="7"/>
  <c r="D51" i="7" s="1"/>
  <c r="L24" i="7"/>
  <c r="L45" i="7"/>
  <c r="R8" i="11"/>
  <c r="R4" i="11" s="1"/>
  <c r="D13" i="19" s="1"/>
  <c r="D22" i="19" s="1"/>
  <c r="N8" i="11"/>
  <c r="N4" i="11" s="1"/>
  <c r="O14" i="7"/>
  <c r="P14" i="7" s="1"/>
  <c r="P16" i="7" s="1"/>
  <c r="P51" i="7" s="1"/>
  <c r="H14" i="7"/>
  <c r="H16" i="7" s="1"/>
  <c r="K14" i="7"/>
  <c r="L14" i="7" s="1"/>
  <c r="L16" i="7" s="1"/>
  <c r="L51" i="7" s="1"/>
  <c r="D21" i="19"/>
  <c r="H44" i="7"/>
  <c r="G44" i="7" s="1"/>
  <c r="K44" i="7" s="1"/>
  <c r="C15" i="19"/>
  <c r="C23" i="19"/>
  <c r="N41" i="7"/>
  <c r="P33" i="7"/>
  <c r="C36" i="7"/>
  <c r="D36" i="7" s="1"/>
  <c r="H37" i="7"/>
  <c r="G37" i="7" s="1"/>
  <c r="K37" i="7" s="1"/>
  <c r="L37" i="7" s="1"/>
  <c r="K3" i="6"/>
  <c r="K5" i="6"/>
  <c r="C27" i="19" l="1"/>
  <c r="C22" i="15"/>
  <c r="E22" i="15" s="1"/>
  <c r="C26" i="15" s="1"/>
  <c r="H51" i="7"/>
  <c r="J29" i="7"/>
  <c r="L29" i="7" s="1"/>
  <c r="L30" i="7" s="1"/>
  <c r="D24" i="19"/>
  <c r="D15" i="19"/>
  <c r="D27" i="19" s="1"/>
  <c r="N3" i="11"/>
  <c r="N5" i="11"/>
  <c r="H36" i="7"/>
  <c r="G36" i="7" s="1"/>
  <c r="K36" i="7" s="1"/>
  <c r="D41" i="7"/>
  <c r="C24" i="19"/>
  <c r="C32" i="15" s="1"/>
  <c r="H48" i="7"/>
  <c r="C20" i="15" s="1"/>
  <c r="E20" i="15" s="1"/>
  <c r="L44" i="7"/>
  <c r="L48" i="7" s="1"/>
  <c r="O44" i="7"/>
  <c r="P44" i="7" s="1"/>
  <c r="P48" i="7" s="1"/>
  <c r="O37" i="7"/>
  <c r="P37" i="7" s="1"/>
  <c r="N29" i="7" s="1"/>
  <c r="P29" i="7" s="1"/>
  <c r="P30" i="7" s="1"/>
  <c r="D29" i="7"/>
  <c r="F29" i="7"/>
  <c r="C28" i="19" l="1"/>
  <c r="C29" i="19" s="1"/>
  <c r="H41" i="7"/>
  <c r="C19" i="15" s="1"/>
  <c r="E19" i="15" s="1"/>
  <c r="H29" i="7"/>
  <c r="D30" i="7"/>
  <c r="D50" i="7" s="1"/>
  <c r="D57" i="7" s="1"/>
  <c r="L36" i="7"/>
  <c r="L41" i="7" s="1"/>
  <c r="L50" i="7" s="1"/>
  <c r="L57" i="7" s="1"/>
  <c r="O36" i="7"/>
  <c r="P36" i="7" s="1"/>
  <c r="P41" i="7" s="1"/>
  <c r="P50" i="7" s="1"/>
  <c r="P57" i="7" s="1"/>
  <c r="D52" i="7" l="1"/>
  <c r="C57" i="7" s="1"/>
  <c r="D56" i="7"/>
  <c r="C25" i="15" s="1"/>
  <c r="L52" i="7"/>
  <c r="L56" i="7"/>
  <c r="P52" i="7"/>
  <c r="P56" i="7"/>
  <c r="G29" i="7"/>
  <c r="H30" i="7"/>
  <c r="D55" i="7"/>
  <c r="D58" i="7" s="1"/>
  <c r="L55" i="7"/>
  <c r="L58" i="7" s="1"/>
  <c r="P55" i="7"/>
  <c r="P58" i="7" s="1"/>
  <c r="O56" i="7" l="1"/>
  <c r="O57" i="7"/>
  <c r="K56" i="7"/>
  <c r="K57" i="7"/>
  <c r="C56" i="7"/>
  <c r="C5" i="20" s="1"/>
  <c r="C11" i="20" s="1"/>
  <c r="C28" i="15"/>
  <c r="C55" i="7"/>
  <c r="C58" i="7" s="1"/>
  <c r="C29" i="15" s="1"/>
  <c r="C17" i="15"/>
  <c r="E17" i="15" s="1"/>
  <c r="H50" i="7"/>
  <c r="H57" i="7" s="1"/>
  <c r="O55" i="7"/>
  <c r="O58" i="7" s="1"/>
  <c r="K55" i="7"/>
  <c r="K58" i="7" s="1"/>
  <c r="C13" i="20" l="1"/>
  <c r="E24" i="20"/>
  <c r="E25" i="20"/>
  <c r="E26" i="20"/>
  <c r="E29" i="20"/>
  <c r="E27" i="20"/>
  <c r="E23" i="20"/>
  <c r="E28" i="20"/>
  <c r="C19" i="20"/>
  <c r="D24" i="20"/>
  <c r="D25" i="20"/>
  <c r="D26" i="20"/>
  <c r="D27" i="20"/>
  <c r="D28" i="20"/>
  <c r="D29" i="20"/>
  <c r="D23" i="20"/>
  <c r="C27" i="15"/>
  <c r="H52" i="7"/>
  <c r="H56" i="7"/>
  <c r="C21" i="15"/>
  <c r="E21" i="15" s="1"/>
  <c r="H55" i="7"/>
  <c r="H58" i="7" s="1"/>
  <c r="C16" i="20" l="1"/>
  <c r="G56" i="7"/>
  <c r="G57" i="7"/>
  <c r="G55" i="7"/>
  <c r="G58" i="7" s="1"/>
  <c r="C23" i="15"/>
  <c r="E23" i="15" s="1"/>
  <c r="G18" i="15" l="1"/>
  <c r="G17" i="15"/>
  <c r="G20" i="15"/>
  <c r="G19" i="15"/>
  <c r="G2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Karsikas Tomi</author>
  </authors>
  <commentList>
    <comment ref="E7" authorId="0" shapeId="0" xr:uid="{00000000-0006-0000-0100-000001000000}">
      <text>
        <r>
          <rPr>
            <b/>
            <sz val="9"/>
            <color indexed="81"/>
            <rFont val="Tahoma"/>
            <family val="2"/>
          </rPr>
          <t>Karsikas Tomi:</t>
        </r>
        <r>
          <rPr>
            <sz val="9"/>
            <color indexed="81"/>
            <rFont val="Tahoma"/>
            <family val="2"/>
          </rPr>
          <t xml:space="preserve">
= korjataan sato jonkun muun pellolta. Nämä hehtaarit eivät ole omassa tukihakemuksessa.</t>
        </r>
      </text>
    </comment>
    <comment ref="E8" authorId="0" shapeId="0" xr:uid="{00000000-0006-0000-0100-000002000000}">
      <text>
        <r>
          <rPr>
            <b/>
            <sz val="9"/>
            <color indexed="81"/>
            <rFont val="Tahoma"/>
            <family val="2"/>
          </rPr>
          <t>Karsikas Tomi:</t>
        </r>
        <r>
          <rPr>
            <sz val="9"/>
            <color indexed="81"/>
            <rFont val="Tahoma"/>
            <family val="2"/>
          </rPr>
          <t xml:space="preserve">
Tämä arvo siirtyy laskelma-välilehdelle</t>
        </r>
      </text>
    </comment>
    <comment ref="E16" authorId="0" shapeId="0" xr:uid="{00000000-0006-0000-0100-000003000000}">
      <text>
        <r>
          <rPr>
            <b/>
            <sz val="9"/>
            <color indexed="81"/>
            <rFont val="Tahoma"/>
            <family val="2"/>
          </rPr>
          <t>Karsikas Tomi:</t>
        </r>
        <r>
          <rPr>
            <sz val="9"/>
            <color indexed="81"/>
            <rFont val="Tahoma"/>
            <family val="2"/>
          </rPr>
          <t xml:space="preserve">
Tämä arvo siirtyy laskelma-välilehdelle</t>
        </r>
      </text>
    </comment>
    <comment ref="E17" authorId="0" shapeId="0" xr:uid="{00000000-0006-0000-0100-000004000000}">
      <text>
        <r>
          <rPr>
            <b/>
            <sz val="9"/>
            <color indexed="81"/>
            <rFont val="Tahoma"/>
            <family val="2"/>
          </rPr>
          <t>Karsikas Tomi:</t>
        </r>
        <r>
          <rPr>
            <sz val="9"/>
            <color indexed="81"/>
            <rFont val="Tahoma"/>
            <family val="2"/>
          </rPr>
          <t xml:space="preserve">
Tämä arvo siirtyy laskelma-välilehdelle</t>
        </r>
      </text>
    </comment>
    <comment ref="E19" authorId="0" shapeId="0" xr:uid="{00000000-0006-0000-0100-000005000000}">
      <text>
        <r>
          <rPr>
            <b/>
            <sz val="9"/>
            <color indexed="81"/>
            <rFont val="Tahoma"/>
            <family val="2"/>
          </rPr>
          <t>Karsikas Tomi:</t>
        </r>
        <r>
          <rPr>
            <sz val="9"/>
            <color indexed="81"/>
            <rFont val="Tahoma"/>
            <family val="2"/>
          </rPr>
          <t xml:space="preserve">
Klikkaa hiirella solua ja valitse pudotusvalikosta maakunta, jossa tila sijaitsee</t>
        </r>
      </text>
    </comment>
    <comment ref="E20" authorId="0" shapeId="0" xr:uid="{00000000-0006-0000-0100-000006000000}">
      <text>
        <r>
          <rPr>
            <b/>
            <sz val="9"/>
            <color indexed="81"/>
            <rFont val="Tahoma"/>
            <family val="2"/>
          </rPr>
          <t>Karsikas Tomi:</t>
        </r>
        <r>
          <rPr>
            <sz val="9"/>
            <color indexed="81"/>
            <rFont val="Tahoma"/>
            <family val="2"/>
          </rPr>
          <t xml:space="preserve">
Tämä arvo siirtyy laskelma-välilehdelle</t>
        </r>
      </text>
    </comment>
    <comment ref="E21" authorId="0" shapeId="0" xr:uid="{00000000-0006-0000-0100-000007000000}">
      <text>
        <r>
          <rPr>
            <b/>
            <sz val="9"/>
            <color indexed="81"/>
            <rFont val="Tahoma"/>
            <family val="2"/>
          </rPr>
          <t>Karsikas Tomi:</t>
        </r>
        <r>
          <rPr>
            <sz val="9"/>
            <color indexed="81"/>
            <rFont val="Tahoma"/>
            <family val="2"/>
          </rPr>
          <t xml:space="preserve">
Tämä arvo siirtyy laskelma-välilehdelle</t>
        </r>
      </text>
    </comment>
    <comment ref="D24" authorId="0" shapeId="0" xr:uid="{00000000-0006-0000-0100-000008000000}">
      <text>
        <r>
          <rPr>
            <b/>
            <sz val="9"/>
            <color indexed="81"/>
            <rFont val="Tahoma"/>
            <family val="2"/>
          </rPr>
          <t>Karsikas Tomi:</t>
        </r>
        <r>
          <rPr>
            <sz val="9"/>
            <color indexed="81"/>
            <rFont val="Tahoma"/>
            <family val="2"/>
          </rPr>
          <t xml:space="preserve">
% omien ja vuokrapeltojen yhteismäärästä</t>
        </r>
      </text>
    </comment>
    <comment ref="E40" authorId="0" shapeId="0" xr:uid="{00000000-0006-0000-0100-000009000000}">
      <text>
        <r>
          <rPr>
            <b/>
            <sz val="9"/>
            <color indexed="81"/>
            <rFont val="Tahoma"/>
            <family val="2"/>
          </rPr>
          <t>Karsikas Tomi:</t>
        </r>
        <r>
          <rPr>
            <sz val="9"/>
            <color indexed="81"/>
            <rFont val="Tahoma"/>
            <family val="2"/>
          </rPr>
          <t xml:space="preserve">
Klikkaa hiirella solua ja valitse pudotusvalikosta tkialue, jolla tila sijaitsee</t>
        </r>
      </text>
    </comment>
    <comment ref="D43" authorId="0" shapeId="0" xr:uid="{00000000-0006-0000-0100-00000A000000}">
      <text>
        <r>
          <rPr>
            <b/>
            <sz val="9"/>
            <color indexed="81"/>
            <rFont val="Tahoma"/>
            <family val="2"/>
          </rPr>
          <t>Karsikas Tomi:</t>
        </r>
        <r>
          <rPr>
            <sz val="9"/>
            <color indexed="81"/>
            <rFont val="Tahoma"/>
            <family val="2"/>
          </rPr>
          <t xml:space="preserve">
Merkitse tähän, kuinka monelle hehtaarille kyseistä tukea saat.
Jos raivioita tai muuten tukikelvottomia aloja, niin ne hehtaarit vähennetään tässä. </t>
        </r>
      </text>
    </comment>
    <comment ref="C51" authorId="0" shapeId="0" xr:uid="{00000000-0006-0000-0100-00000B000000}">
      <text>
        <r>
          <rPr>
            <b/>
            <sz val="9"/>
            <color indexed="81"/>
            <rFont val="Tahoma"/>
            <family val="2"/>
          </rPr>
          <t>Karsikas Tomi:</t>
        </r>
        <r>
          <rPr>
            <sz val="9"/>
            <color indexed="81"/>
            <rFont val="Tahoma"/>
            <family val="2"/>
          </rPr>
          <t xml:space="preserve">
Jos kohdentamisalue, niin 54 €/ha. Asiasta tarkemmin Tuet-välilehdellä</t>
        </r>
      </text>
    </comment>
    <comment ref="E58" authorId="0" shapeId="0" xr:uid="{00000000-0006-0000-0100-00000C000000}">
      <text>
        <r>
          <rPr>
            <b/>
            <sz val="9"/>
            <color indexed="81"/>
            <rFont val="Tahoma"/>
            <family val="2"/>
          </rPr>
          <t>Karsikas Tomi:</t>
        </r>
        <r>
          <rPr>
            <sz val="9"/>
            <color indexed="81"/>
            <rFont val="Tahoma"/>
            <family val="2"/>
          </rPr>
          <t xml:space="preserve">
Jos saat laskettua haettujen peltotukien määrän VIPU-palvelusta, syötä summa tähän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Karsikas Tomi</author>
    <author>Karsikas, Tomi</author>
  </authors>
  <commentList>
    <comment ref="F4" authorId="0" shapeId="0" xr:uid="{710B9499-D105-40B9-865F-CBB285380426}">
      <text>
        <r>
          <rPr>
            <b/>
            <sz val="9"/>
            <color indexed="81"/>
            <rFont val="Tahoma"/>
            <family val="2"/>
          </rPr>
          <t>Karsikas Tomi:</t>
        </r>
        <r>
          <rPr>
            <sz val="9"/>
            <color indexed="81"/>
            <rFont val="Tahoma"/>
            <family val="2"/>
          </rPr>
          <t xml:space="preserve">
Paalimäärän kappaleina voi syöttää suoraan tähän sarakkeeseen.
</t>
        </r>
      </text>
    </comment>
    <comment ref="G4" authorId="1" shapeId="0" xr:uid="{01DC6397-C5A1-446C-9A5C-1FC6EAC05543}">
      <text>
        <r>
          <rPr>
            <b/>
            <sz val="9"/>
            <color indexed="81"/>
            <rFont val="Tahoma"/>
            <family val="2"/>
          </rPr>
          <t>Karsikas, Tomi:</t>
        </r>
        <r>
          <rPr>
            <sz val="9"/>
            <color indexed="81"/>
            <rFont val="Tahoma"/>
            <family val="2"/>
          </rPr>
          <t xml:space="preserve">
Paalin paino, kg tai rehun kuutiopaino, kg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Karsikas Tomi</author>
  </authors>
  <commentList>
    <comment ref="B7" authorId="0" shapeId="0" xr:uid="{00000000-0006-0000-0200-000001000000}">
      <text>
        <r>
          <rPr>
            <b/>
            <sz val="9"/>
            <color indexed="81"/>
            <rFont val="Tahoma"/>
            <family val="2"/>
          </rPr>
          <t>Karsikas Tomi:</t>
        </r>
        <r>
          <rPr>
            <sz val="9"/>
            <color indexed="81"/>
            <rFont val="Tahoma"/>
            <family val="2"/>
          </rPr>
          <t xml:space="preserve">
Tähän kaikki tilan peltoviljelyyn käytettävät koneet. Eli ne koneet, jotka tarvitaan siihen, että nurmirehu saadaan viljeltyä ja korjattua varastoon.
Ei koneita, joita käytetään vain eläinten ruokintaan, esim. rehuleikkuri, apevaunu...</t>
        </r>
      </text>
    </comment>
    <comment ref="C7" authorId="0" shapeId="0" xr:uid="{00000000-0006-0000-0200-000002000000}">
      <text>
        <r>
          <rPr>
            <b/>
            <sz val="9"/>
            <color indexed="81"/>
            <rFont val="Tahoma"/>
            <family val="2"/>
          </rPr>
          <t>Karsikas Tomi:</t>
        </r>
        <r>
          <rPr>
            <sz val="9"/>
            <color indexed="81"/>
            <rFont val="Tahoma"/>
            <family val="2"/>
          </rPr>
          <t xml:space="preserve">
Toteutunut hinta tai jälleenhankintahinta </t>
        </r>
      </text>
    </comment>
    <comment ref="D7" authorId="0" shapeId="0" xr:uid="{00000000-0006-0000-0200-000003000000}">
      <text>
        <r>
          <rPr>
            <b/>
            <sz val="9"/>
            <color indexed="81"/>
            <rFont val="Tahoma"/>
            <family val="2"/>
          </rPr>
          <t>Karsikas Tomi:</t>
        </r>
        <r>
          <rPr>
            <sz val="9"/>
            <color indexed="81"/>
            <rFont val="Tahoma"/>
            <family val="2"/>
          </rPr>
          <t xml:space="preserve">
Kuinka monta vuotta koneen hankinnasta on kulunut. Vaikuttaa koneiden nykyarvon laskentaan.</t>
        </r>
      </text>
    </comment>
    <comment ref="E7" authorId="0" shapeId="0" xr:uid="{00000000-0006-0000-0200-000004000000}">
      <text>
        <r>
          <rPr>
            <b/>
            <sz val="9"/>
            <color indexed="81"/>
            <rFont val="Tahoma"/>
            <family val="2"/>
          </rPr>
          <t>Karsikas Tomi:</t>
        </r>
        <r>
          <rPr>
            <sz val="9"/>
            <color indexed="81"/>
            <rFont val="Tahoma"/>
            <family val="2"/>
          </rPr>
          <t xml:space="preserve">
Kuinka monta vuotta konetta käytetään tilalla. (hankinnasta --&gt; myyntiin tai  romutukseen)</t>
        </r>
      </text>
    </comment>
    <comment ref="F7" authorId="0" shapeId="0" xr:uid="{00000000-0006-0000-0200-000005000000}">
      <text>
        <r>
          <rPr>
            <b/>
            <sz val="9"/>
            <color indexed="81"/>
            <rFont val="Tahoma"/>
            <family val="2"/>
          </rPr>
          <t>Karsikas Tomi:</t>
        </r>
        <r>
          <rPr>
            <sz val="9"/>
            <color indexed="81"/>
            <rFont val="Tahoma"/>
            <family val="2"/>
          </rPr>
          <t xml:space="preserve">
Arvio koneen jäännösarvosta käyttöajan päättyessä
</t>
        </r>
      </text>
    </comment>
    <comment ref="G7" authorId="0" shapeId="0" xr:uid="{00000000-0006-0000-0200-000006000000}">
      <text>
        <r>
          <rPr>
            <b/>
            <sz val="9"/>
            <color indexed="81"/>
            <rFont val="Tahoma"/>
            <family val="2"/>
          </rPr>
          <t>Karsikas Tomi:</t>
        </r>
        <r>
          <rPr>
            <sz val="9"/>
            <color indexed="81"/>
            <rFont val="Tahoma"/>
            <family val="2"/>
          </rPr>
          <t xml:space="preserve">
Voi myös laittaa todellisen summan, jos on tiedossa.
Tsekkaa summariviltä (solu G4), että huollon kokonaiskustannukset vuodessa näyttävät järkevältä. Jos tarvetta muutta, niin muuta huoltokustannus-% (solussa G6). 
Säilörehulle jyvittyvä osa huoltokustannuksesta näkyy solussa V4. Se siirtyy laskelma-välilehdelle huoltokustannus -kohtaan.</t>
        </r>
      </text>
    </comment>
    <comment ref="I7" authorId="0" shapeId="0" xr:uid="{00000000-0006-0000-0200-000007000000}">
      <text>
        <r>
          <rPr>
            <b/>
            <sz val="9"/>
            <color indexed="81"/>
            <rFont val="Tahoma"/>
            <family val="2"/>
          </rPr>
          <t>Karsikas Tomi:</t>
        </r>
        <r>
          <rPr>
            <sz val="9"/>
            <color indexed="81"/>
            <rFont val="Tahoma"/>
            <family val="2"/>
          </rPr>
          <t xml:space="preserve">
Jos yhteiskoneita, niin tähän omistusosuus
</t>
        </r>
      </text>
    </comment>
    <comment ref="J7" authorId="0" shapeId="0" xr:uid="{00000000-0006-0000-0200-000008000000}">
      <text>
        <r>
          <rPr>
            <b/>
            <sz val="9"/>
            <color indexed="81"/>
            <rFont val="Tahoma"/>
            <family val="2"/>
          </rPr>
          <t>Karsikas Tomi:</t>
        </r>
        <r>
          <rPr>
            <sz val="9"/>
            <color indexed="81"/>
            <rFont val="Tahoma"/>
            <family val="2"/>
          </rPr>
          <t xml:space="preserve">
Kuinka suuri osa koneen käytöstä kohdistuu kyseisen kasvin viljelyyn,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Karsikas Tomi</author>
  </authors>
  <commentList>
    <comment ref="C7" authorId="0" shapeId="0" xr:uid="{00000000-0006-0000-0300-000001000000}">
      <text>
        <r>
          <rPr>
            <b/>
            <sz val="9"/>
            <color indexed="81"/>
            <rFont val="Tahoma"/>
            <family val="2"/>
          </rPr>
          <t>Karsikas Tomi:</t>
        </r>
        <r>
          <rPr>
            <sz val="9"/>
            <color indexed="81"/>
            <rFont val="Tahoma"/>
            <family val="2"/>
          </rPr>
          <t xml:space="preserve">
Todellinen rakennuskustannus - investointiavustus.</t>
        </r>
      </text>
    </comment>
    <comment ref="D7" authorId="0" shapeId="0" xr:uid="{00000000-0006-0000-0300-000002000000}">
      <text>
        <r>
          <rPr>
            <b/>
            <sz val="9"/>
            <color indexed="81"/>
            <rFont val="Tahoma"/>
            <family val="2"/>
          </rPr>
          <t>Karsikas Tomi:</t>
        </r>
        <r>
          <rPr>
            <sz val="9"/>
            <color indexed="81"/>
            <rFont val="Tahoma"/>
            <family val="2"/>
          </rPr>
          <t xml:space="preserve">
Kuinka monta vuotta koneen hankinnasta on kulunut. Vaikuttaa koneiden nykyarvon laskentaan.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Karsikas Tomi</author>
    <author>Karsikas, Tomi</author>
  </authors>
  <commentList>
    <comment ref="J4" authorId="0" shapeId="0" xr:uid="{00000000-0006-0000-0500-000001000000}">
      <text>
        <r>
          <rPr>
            <b/>
            <sz val="9"/>
            <color indexed="81"/>
            <rFont val="Tahoma"/>
            <family val="2"/>
          </rPr>
          <t>Karsikas Tomi:</t>
        </r>
        <r>
          <rPr>
            <sz val="9"/>
            <color indexed="81"/>
            <rFont val="Tahoma"/>
            <family val="2"/>
          </rPr>
          <t xml:space="preserve">
Eri versiot voi myös nimetä jollakin kuvaavalla nimellä tähän soluun. Esim. Satotason nosto tai Urakointi tai Raiviot. Tms...</t>
        </r>
      </text>
    </comment>
    <comment ref="N4" authorId="0" shapeId="0" xr:uid="{00000000-0006-0000-0500-000002000000}">
      <text>
        <r>
          <rPr>
            <b/>
            <sz val="9"/>
            <color indexed="81"/>
            <rFont val="Tahoma"/>
            <family val="2"/>
          </rPr>
          <t>Karsikas Tomi:</t>
        </r>
        <r>
          <rPr>
            <sz val="9"/>
            <color indexed="81"/>
            <rFont val="Tahoma"/>
            <family val="2"/>
          </rPr>
          <t xml:space="preserve">
Eri versiot voi myös nimetä jollakin kuvaavalla nimellä tähän soluun. Esim. Satotason nosto tai Urakointi tai Raiviot. Tms...</t>
        </r>
      </text>
    </comment>
    <comment ref="D5" authorId="0" shapeId="0" xr:uid="{00000000-0006-0000-0500-000004000000}">
      <text>
        <r>
          <rPr>
            <b/>
            <sz val="9"/>
            <color indexed="81"/>
            <rFont val="Tahoma"/>
            <family val="2"/>
          </rPr>
          <t>Karsikas Tomi:</t>
        </r>
        <r>
          <rPr>
            <sz val="9"/>
            <color indexed="81"/>
            <rFont val="Tahoma"/>
            <family val="2"/>
          </rPr>
          <t xml:space="preserve">
Täytä hehtaarit ensin Pelto -välilehdelle</t>
        </r>
      </text>
    </comment>
    <comment ref="D14" authorId="0" shapeId="0" xr:uid="{00000000-0006-0000-0500-000006000000}">
      <text>
        <r>
          <rPr>
            <b/>
            <sz val="9"/>
            <color indexed="81"/>
            <rFont val="Tahoma"/>
            <family val="2"/>
          </rPr>
          <t>Karsikas Tomi:</t>
        </r>
        <r>
          <rPr>
            <sz val="9"/>
            <color indexed="81"/>
            <rFont val="Tahoma"/>
            <family val="2"/>
          </rPr>
          <t xml:space="preserve">
Täytä tukitiedot ensin Pelto -välilehdelle</t>
        </r>
      </text>
    </comment>
    <comment ref="A15" authorId="0" shapeId="0" xr:uid="{00000000-0006-0000-0500-000007000000}">
      <text>
        <r>
          <rPr>
            <b/>
            <sz val="9"/>
            <color indexed="81"/>
            <rFont val="Tahoma"/>
            <family val="2"/>
          </rPr>
          <t>Karsikas Tomi:</t>
        </r>
        <r>
          <rPr>
            <sz val="9"/>
            <color indexed="81"/>
            <rFont val="Tahoma"/>
            <family val="2"/>
          </rPr>
          <t xml:space="preserve">
Esim. ylimääräisen säilörehun myyntitulot tai olkien myyntitulot viljalla...</t>
        </r>
      </text>
    </comment>
    <comment ref="A18" authorId="0" shapeId="0" xr:uid="{00000000-0006-0000-0500-000008000000}">
      <text>
        <r>
          <rPr>
            <b/>
            <sz val="9"/>
            <color indexed="81"/>
            <rFont val="Tahoma"/>
            <family val="2"/>
          </rPr>
          <t>Karsikas Tomi:</t>
        </r>
        <r>
          <rPr>
            <sz val="9"/>
            <color indexed="81"/>
            <rFont val="Tahoma"/>
            <family val="2"/>
          </rPr>
          <t xml:space="preserve">
Tähän mukaan myös kaikki sopimusalajen ja tuettomien alojen muuttuvat kustannukset.
Näihin ei mukaan esim. säilöntöaineet ja muovit niiltä osin, kun ne on muille tehtävän urakoinnin kuluja.</t>
        </r>
      </text>
    </comment>
    <comment ref="A19" authorId="0" shapeId="0" xr:uid="{00000000-0006-0000-0500-000009000000}">
      <text>
        <r>
          <rPr>
            <b/>
            <sz val="9"/>
            <color indexed="81"/>
            <rFont val="Tahoma"/>
            <family val="2"/>
          </rPr>
          <t>Karsikas Tomi:</t>
        </r>
        <r>
          <rPr>
            <sz val="9"/>
            <color indexed="81"/>
            <rFont val="Tahoma"/>
            <family val="2"/>
          </rPr>
          <t xml:space="preserve">
Nurmensiemenlaskun kokonaissumma.</t>
        </r>
      </text>
    </comment>
    <comment ref="A26" authorId="0" shapeId="0" xr:uid="{00000000-0006-0000-0500-00000A000000}">
      <text>
        <r>
          <rPr>
            <b/>
            <sz val="9"/>
            <color indexed="81"/>
            <rFont val="Tahoma"/>
            <family val="2"/>
          </rPr>
          <t>Karsikas Tomi:</t>
        </r>
        <r>
          <rPr>
            <sz val="9"/>
            <color indexed="81"/>
            <rFont val="Tahoma"/>
            <family val="2"/>
          </rPr>
          <t xml:space="preserve">
Ojien ja teiden kunnossapito</t>
        </r>
      </text>
    </comment>
    <comment ref="A28" authorId="0" shapeId="0" xr:uid="{00000000-0006-0000-0500-00000B000000}">
      <text>
        <r>
          <rPr>
            <b/>
            <sz val="9"/>
            <color indexed="81"/>
            <rFont val="Tahoma"/>
            <family val="2"/>
          </rPr>
          <t>Karsikas Tomi:</t>
        </r>
        <r>
          <rPr>
            <sz val="9"/>
            <color indexed="81"/>
            <rFont val="Tahoma"/>
            <family val="2"/>
          </rPr>
          <t xml:space="preserve">
Esim. siilojen ja aumojen peittely, muovien hävittäminen, jne</t>
        </r>
      </text>
    </comment>
    <comment ref="A33" authorId="0" shapeId="0" xr:uid="{00000000-0006-0000-0500-00000C000000}">
      <text>
        <r>
          <rPr>
            <b/>
            <sz val="9"/>
            <color indexed="81"/>
            <rFont val="Tahoma"/>
            <family val="2"/>
          </rPr>
          <t>Karsikas Tomi:</t>
        </r>
        <r>
          <rPr>
            <sz val="9"/>
            <color indexed="81"/>
            <rFont val="Tahoma"/>
            <family val="2"/>
          </rPr>
          <t xml:space="preserve">
Kaikkien nurmenviljelyn työvaiheiden työtunnit. 
Normaalisti 10 - 14 tuntia/ha, jos ei urakointia. Ketjujen tehokkuus, etäisyydet, korjuukertojen määrä ja satotaso vaikuttavat ainakin työmenekkiin. Tehokkailla ketjuilla voi olla alempi, jopa 7 tuntia/ha.
Työmenekissä huomioitavat työt
</t>
        </r>
        <r>
          <rPr>
            <b/>
            <sz val="9"/>
            <color indexed="81"/>
            <rFont val="Tahoma"/>
            <family val="2"/>
          </rPr>
          <t>Viljelytyöt:</t>
        </r>
        <r>
          <rPr>
            <sz val="9"/>
            <color indexed="81"/>
            <rFont val="Tahoma"/>
            <family val="2"/>
          </rPr>
          <t xml:space="preserve">
- lannanlevitys, kun se  tehdään säilörehuksi korjattaville aloille (eli kun ko. lohkojen sato on mukana säilörehun kokonaissadossa)
- nurmen perustamiseen lyyttyvät muokkaukset ja kylvötyö, kun se tehdään säilörehuksi korjattaville aloille (eli kun ko. lohkojen sato on mukana säilörehun kokonaissadossa)
- lannoitus
- täydennyskylvö
- varastojen puhdistaminen ja vuosikorjaus (ei peruskorjaus)
- niitto
- karhotus
- korjuu
- rehun siirtoajot talouskeskukseen saakka
- siilojen muovitus ja painotus, paalien suojaus ja tarkkailu
</t>
        </r>
        <r>
          <rPr>
            <b/>
            <sz val="9"/>
            <color indexed="81"/>
            <rFont val="Tahoma"/>
            <family val="2"/>
          </rPr>
          <t>Paperityöt ja valvonta sekä peltojen kunnossapitoon käytetty aika:</t>
        </r>
        <r>
          <rPr>
            <sz val="9"/>
            <color indexed="81"/>
            <rFont val="Tahoma"/>
            <family val="2"/>
          </rPr>
          <t xml:space="preserve"> (kokonaisajasta voi kohdistaa säilörehulle esim. säilörehupinta-alaa vastaavan osuuden työtunneista, jos tarkempaa seurantaa ei ole)
- viljelysuunnitteluun käytetty aika, myös lähtötietojen anto asiantuntija-avustajalle
- viljelymuistiinpanojen ja tukivalvontaa varten tehtäviin töihin käytetty aika
- viljelypanosten kilpailutus ja ostot
- viljelytarvikkeiden vastaanotto
- tarvikevarastoiden järjestely
- palkatun työvoiman tai urakoitsijan työnjohtoon käytettävä aika peltotöiden osalta
- ojien ja ojanvarsien hoitoon ja kunnostukseen käytetty aika
- viljelysteiden hoitoon käytetty aika (ei peruskorjaus)
- ojanvarsien, avo-ojien ja salaojien huoltoon käytettävä aika (niitot, tarkastukset, rikkoutumien korjaukset, ojien perkaukset) – ei kuitenkaan uusintaojitukset tms. poistojen kautta kuljetettavat työt
</t>
        </r>
      </text>
    </comment>
    <comment ref="C33" authorId="0" shapeId="0" xr:uid="{00000000-0006-0000-0500-00000D000000}">
      <text>
        <r>
          <rPr>
            <b/>
            <sz val="9"/>
            <color indexed="81"/>
            <rFont val="Tahoma"/>
            <family val="2"/>
          </rPr>
          <t>Palkka 15,6 €/h + vakuutus 2,2 €/h</t>
        </r>
      </text>
    </comment>
    <comment ref="G33" authorId="0" shapeId="0" xr:uid="{00000000-0006-0000-0500-00000E000000}">
      <text>
        <r>
          <rPr>
            <b/>
            <sz val="9"/>
            <color indexed="81"/>
            <rFont val="Tahoma"/>
            <family val="2"/>
          </rPr>
          <t>Palkka 15,6 €/h + vakuutus 2,2 €/h</t>
        </r>
      </text>
    </comment>
    <comment ref="K33" authorId="0" shapeId="0" xr:uid="{00000000-0006-0000-0500-00000F000000}">
      <text>
        <r>
          <rPr>
            <b/>
            <sz val="9"/>
            <color indexed="81"/>
            <rFont val="Tahoma"/>
            <family val="2"/>
          </rPr>
          <t>Palkka 15,6 €/h + vakuutus 2,2 €/h</t>
        </r>
      </text>
    </comment>
    <comment ref="O33" authorId="0" shapeId="0" xr:uid="{00000000-0006-0000-0500-000010000000}">
      <text>
        <r>
          <rPr>
            <b/>
            <sz val="9"/>
            <color indexed="81"/>
            <rFont val="Tahoma"/>
            <family val="2"/>
          </rPr>
          <t>Palkka 15,6 €/h + vakuutus 2,2 €/h</t>
        </r>
      </text>
    </comment>
    <comment ref="A34" authorId="0" shapeId="0" xr:uid="{00000000-0006-0000-0500-000011000000}">
      <text>
        <r>
          <rPr>
            <b/>
            <sz val="9"/>
            <color indexed="81"/>
            <rFont val="Tahoma"/>
            <family val="2"/>
          </rPr>
          <t>Karsikas Tomi:</t>
        </r>
        <r>
          <rPr>
            <sz val="9"/>
            <color indexed="81"/>
            <rFont val="Tahoma"/>
            <family val="2"/>
          </rPr>
          <t xml:space="preserve">
Palkattu työvoima (ei koneita)</t>
        </r>
      </text>
    </comment>
    <comment ref="A35" authorId="0" shapeId="0" xr:uid="{00000000-0006-0000-0500-000012000000}">
      <text>
        <r>
          <rPr>
            <b/>
            <sz val="9"/>
            <color indexed="81"/>
            <rFont val="Tahoma"/>
            <family val="2"/>
          </rPr>
          <t>Karsikas Tomi:</t>
        </r>
        <r>
          <rPr>
            <sz val="9"/>
            <color indexed="81"/>
            <rFont val="Tahoma"/>
            <family val="2"/>
          </rPr>
          <t xml:space="preserve">
Kirjaa tähän arvio, mikä on työn osuus urakoitsijoiden urakointikustannuksesta.
Tätä ei lasketa tässä kohdassa mukaan kustannukseen, mutta yhteenveto välilehden erittelyyn otetaan urakointipalveluista työn osuus mukaan työkustannukseen ja pienennetään vastaavasti konekustannuksen määrää vertailtavuuden vuoksi.</t>
        </r>
      </text>
    </comment>
    <comment ref="A36" authorId="0" shapeId="0" xr:uid="{00000000-0006-0000-0500-000013000000}">
      <text>
        <r>
          <rPr>
            <b/>
            <sz val="9"/>
            <color indexed="81"/>
            <rFont val="Tahoma"/>
            <family val="2"/>
          </rPr>
          <t>Karsikas Tomi:</t>
        </r>
        <r>
          <rPr>
            <sz val="9"/>
            <color indexed="81"/>
            <rFont val="Tahoma"/>
            <family val="2"/>
          </rPr>
          <t xml:space="preserve">
Laske konekustannus Koneet-välilehdellä. Säilörehullle jyvittyvä osuus konekustannuksista siirtyy tälle riville.</t>
        </r>
      </text>
    </comment>
    <comment ref="A37" authorId="0" shapeId="0" xr:uid="{00000000-0006-0000-0500-000014000000}">
      <text>
        <r>
          <rPr>
            <b/>
            <sz val="9"/>
            <color indexed="81"/>
            <rFont val="Tahoma"/>
            <family val="2"/>
          </rPr>
          <t>Karsikas Tomi:</t>
        </r>
        <r>
          <rPr>
            <sz val="9"/>
            <color indexed="81"/>
            <rFont val="Tahoma"/>
            <family val="2"/>
          </rPr>
          <t xml:space="preserve">
Koneiden huolto- ja korjauskustannuksen laskentaan on kaksi vaihtoehtoa.
A. Voit ottaa kustannuksen suoraan kirjanpidosta ja arvioida kuinka suuri osa kustannuksesta kohdistuu säilörehulle
B. Kirjaa koneet ensin kone-välilehdelle. Konevälilehdelle huolto- ja korjauskustannuksen oletuksena on 5 % koneen käyttöajan keskimääräisestä arvosta. Kun olet kirjannut koneet luetteloon, voit verrata koneluottelon solun F4 summaa kirjanpidon toteumaan ja muuttaa huoltokustannus-% tarvittaessa. Säilörehulle koneiden käytön suhteessa jyvittyvä huoltokustannus näkyy koneluettelon solussa U4 ja siirtyy tälle riville. </t>
        </r>
      </text>
    </comment>
    <comment ref="A38" authorId="0" shapeId="0" xr:uid="{00000000-0006-0000-0500-000015000000}">
      <text>
        <r>
          <rPr>
            <b/>
            <sz val="9"/>
            <color indexed="81"/>
            <rFont val="Tahoma"/>
            <family val="2"/>
          </rPr>
          <t>Karsikas Tomi:</t>
        </r>
        <r>
          <rPr>
            <sz val="9"/>
            <color indexed="81"/>
            <rFont val="Tahoma"/>
            <family val="2"/>
          </rPr>
          <t xml:space="preserve">
Arvio säilörehun viljelyyn käytetyn polttoaineen osuus polttoaineen kokonaiskustannuksesta. 
Voit käyttää apuna polttoaine välilehdellä olevia laskureita.</t>
        </r>
      </text>
    </comment>
    <comment ref="A44" authorId="0" shapeId="0" xr:uid="{00000000-0006-0000-0500-000016000000}">
      <text>
        <r>
          <rPr>
            <b/>
            <sz val="9"/>
            <color indexed="81"/>
            <rFont val="Tahoma"/>
            <family val="2"/>
          </rPr>
          <t>Karsikas Tomi:</t>
        </r>
        <r>
          <rPr>
            <sz val="9"/>
            <color indexed="81"/>
            <rFont val="Tahoma"/>
            <family val="2"/>
          </rPr>
          <t xml:space="preserve">
Laske rakennuksista aiheutuva kustannus Rakennukset -välillehdellä. 
Siirrä säilörehulle jyvittyvä osuus soluun C45.</t>
        </r>
      </text>
    </comment>
    <comment ref="A45" authorId="0" shapeId="0" xr:uid="{00000000-0006-0000-0500-000017000000}">
      <text>
        <r>
          <rPr>
            <b/>
            <sz val="9"/>
            <color indexed="81"/>
            <rFont val="Tahoma"/>
            <family val="2"/>
          </rPr>
          <t>Karsikas Tomi:</t>
        </r>
        <r>
          <rPr>
            <sz val="9"/>
            <color indexed="81"/>
            <rFont val="Tahoma"/>
            <family val="2"/>
          </rPr>
          <t xml:space="preserve">
Täytä peltoihin liittyvät tiedot ensin Pelto -välilehdelle.
Pellon toteutuneet kauppahinnat ja siitä noin 75 % tähän pellon "käyväksi arvoksi".</t>
        </r>
      </text>
    </comment>
    <comment ref="A46" authorId="0" shapeId="0" xr:uid="{00000000-0006-0000-0500-000018000000}">
      <text>
        <r>
          <rPr>
            <b/>
            <sz val="9"/>
            <color indexed="81"/>
            <rFont val="Tahoma"/>
            <family val="2"/>
          </rPr>
          <t>Karsikas Tomi:</t>
        </r>
        <r>
          <rPr>
            <sz val="9"/>
            <color indexed="81"/>
            <rFont val="Tahoma"/>
            <family val="2"/>
          </rPr>
          <t xml:space="preserve">
Täytä peltoihin liittyvät tiedot ensin Pelto -välilehdelle.</t>
        </r>
      </text>
    </comment>
    <comment ref="A47" authorId="0" shapeId="0" xr:uid="{00000000-0006-0000-0500-000019000000}">
      <text>
        <r>
          <rPr>
            <b/>
            <sz val="9"/>
            <color indexed="81"/>
            <rFont val="Tahoma"/>
            <family val="2"/>
          </rPr>
          <t>Karsikas Tomi:</t>
        </r>
        <r>
          <rPr>
            <sz val="9"/>
            <color indexed="81"/>
            <rFont val="Tahoma"/>
            <family val="2"/>
          </rPr>
          <t xml:space="preserve">
Sisältää: tiemaksut, viljelysuunnittelu, kirjanpito, markkinointikulu,
puhelin, ATK, toimistokulu, kurssit, opintomatkat,
henkilöauton käyttö, kiinteistövero, 
ammattikirjallisuus, työvaatteet, jäsenmaksut.
</t>
        </r>
        <r>
          <rPr>
            <b/>
            <sz val="9"/>
            <color indexed="81"/>
            <rFont val="Tahoma"/>
            <family val="2"/>
          </rPr>
          <t xml:space="preserve">VAIN toteutuneet rahamenot.
</t>
        </r>
      </text>
    </comment>
    <comment ref="A58" authorId="1" shapeId="0" xr:uid="{A9FF2B97-74B9-42CE-8D81-3C19147903CE}">
      <text>
        <r>
          <rPr>
            <b/>
            <sz val="9"/>
            <color indexed="81"/>
            <rFont val="Tahoma"/>
            <family val="2"/>
          </rPr>
          <t>Karsikas, Tomi:</t>
        </r>
        <r>
          <rPr>
            <sz val="9"/>
            <color indexed="81"/>
            <rFont val="Tahoma"/>
            <family val="2"/>
          </rPr>
          <t xml:space="preserve">
Kuinka paljon kuivan ohran tonnihinnaksi laskettuna rehu maksaa (yhtä paljon energiaa kuin kuivassa ohrakilossa). 
Toisin sanoen yhden ohratonnin megajoulemäärää vastaavan säilörehumäärän hinta, joka ilmoitetaan muodossa €/tn. Säilörehun hintana käytetään tämän laskelman tulosta (tuettu tuotantokustannus)</t>
        </r>
      </text>
    </comment>
    <comment ref="C58" authorId="1" shapeId="0" xr:uid="{D4AA7971-1173-45FC-81FD-1D5ABC6846C2}">
      <text>
        <r>
          <rPr>
            <b/>
            <sz val="9"/>
            <color indexed="81"/>
            <rFont val="Tahoma"/>
            <family val="2"/>
          </rPr>
          <t>Karsikas, Tomi:</t>
        </r>
        <r>
          <rPr>
            <sz val="9"/>
            <color indexed="81"/>
            <rFont val="Tahoma"/>
            <family val="2"/>
          </rPr>
          <t xml:space="preserve">
Kuinka paljon kuivan ohran tonnihinnaksi laskettuna rehu maksaa (yhtä paljon energiaa kuin kuivassa ohrakilossa). 
Toisin sanoen yhden ohratonnin megajoulemäärää vastaavan säilörehumäärän hinta, joka ilmoitetaan muodossa €/tn. Säilörehun hintana käytetään tämän laskelman tulosta (tuettu tuotantokustannus)</t>
        </r>
      </text>
    </comment>
    <comment ref="G58" authorId="1" shapeId="0" xr:uid="{DB9108C4-941B-4D1C-A0DA-16BCAE43EB1E}">
      <text>
        <r>
          <rPr>
            <b/>
            <sz val="9"/>
            <color indexed="81"/>
            <rFont val="Tahoma"/>
            <family val="2"/>
          </rPr>
          <t>Karsikas, Tomi:</t>
        </r>
        <r>
          <rPr>
            <sz val="9"/>
            <color indexed="81"/>
            <rFont val="Tahoma"/>
            <family val="2"/>
          </rPr>
          <t xml:space="preserve">
Kuinka paljon kuivan ohran tonnihinnaksi laskettuna rehu maksaa (yhtä paljon energiaa kuin kuivassa ohrakilossa). 
Toisin sanoen yhden ohratonnin megajoulemäärää vastaavan säilörehumäärän hinta, joka ilmoitetaan muodossa €/tn. Säilörehun hintana käytetään tämän laskelman tulosta (tuettu tuotantokustannus)</t>
        </r>
      </text>
    </comment>
    <comment ref="K58" authorId="1" shapeId="0" xr:uid="{E5234DF4-75BB-4AB8-BD50-AE17B53CD864}">
      <text>
        <r>
          <rPr>
            <b/>
            <sz val="9"/>
            <color indexed="81"/>
            <rFont val="Tahoma"/>
            <family val="2"/>
          </rPr>
          <t>Karsikas, Tomi:</t>
        </r>
        <r>
          <rPr>
            <sz val="9"/>
            <color indexed="81"/>
            <rFont val="Tahoma"/>
            <family val="2"/>
          </rPr>
          <t xml:space="preserve">
Kuinka paljon kuivan ohran tonnihinnaksi laskettuna rehu maksaa (yhtä paljon energiaa kuin kuivassa ohrakilossa). 
Toisin sanoen yhden ohratonnin megajoulemäärää vastaavan säilörehumäärän hinta, joka ilmoitetaan muodossa €/tn. Säilörehun hintana käytetään tämän laskelman tulosta (tuettu tuotantokustannus)</t>
        </r>
      </text>
    </comment>
    <comment ref="O58" authorId="1" shapeId="0" xr:uid="{3070BCBA-AB0D-407E-881C-F57901D55D56}">
      <text>
        <r>
          <rPr>
            <b/>
            <sz val="9"/>
            <color indexed="81"/>
            <rFont val="Tahoma"/>
            <family val="2"/>
          </rPr>
          <t>Karsikas, Tomi:</t>
        </r>
        <r>
          <rPr>
            <sz val="9"/>
            <color indexed="81"/>
            <rFont val="Tahoma"/>
            <family val="2"/>
          </rPr>
          <t xml:space="preserve">
Kuinka paljon kuivan ohran tonnihinnaksi laskettuna rehu maksaa (yhtä paljon energiaa kuin kuivassa ohrakilossa). 
Toisin sanoen yhden ohratonnin megajoulemäärää vastaavan säilörehumäärän hinta, joka ilmoitetaan muodossa €/tn. Säilörehun hintana käytetään tämän laskelman tulosta (tuettu tuotantokustannus)</t>
        </r>
      </text>
    </comment>
  </commentList>
</comments>
</file>

<file path=xl/sharedStrings.xml><?xml version="1.0" encoding="utf-8"?>
<sst xmlns="http://schemas.openxmlformats.org/spreadsheetml/2006/main" count="839" uniqueCount="486">
  <si>
    <t>määrä</t>
  </si>
  <si>
    <t>á</t>
  </si>
  <si>
    <t>€</t>
  </si>
  <si>
    <t>Tuotot yhteensä</t>
  </si>
  <si>
    <t>Kalkitus</t>
  </si>
  <si>
    <t>Yleiskustannukset</t>
  </si>
  <si>
    <t>Tuet</t>
  </si>
  <si>
    <t>Traktorin poltto- ja voiteluaineet</t>
  </si>
  <si>
    <t>Säilöntäaine</t>
  </si>
  <si>
    <t>Liikepääoman korko (40%)</t>
  </si>
  <si>
    <t>Muuttuvat kustannukset yhteensä</t>
  </si>
  <si>
    <t>Ostettava työ</t>
  </si>
  <si>
    <t>Pellon korko (omat pellot)</t>
  </si>
  <si>
    <t>Pellon vuokra</t>
  </si>
  <si>
    <t>Urakointi</t>
  </si>
  <si>
    <t>Kiinteät kustannukset yhteensä</t>
  </si>
  <si>
    <t>Kustannukset yhteensä</t>
  </si>
  <si>
    <t>D-arvo keskimäärin</t>
  </si>
  <si>
    <t>Tuotot, €/ha</t>
  </si>
  <si>
    <t>Tuettu</t>
  </si>
  <si>
    <t>Tukematon</t>
  </si>
  <si>
    <t>Tuotantokustannus, €/tuore tn</t>
  </si>
  <si>
    <t>Tuotantokustannus eri yksikköä kohden</t>
  </si>
  <si>
    <t>Vaihtoehto B</t>
  </si>
  <si>
    <t>Säilörehu</t>
  </si>
  <si>
    <t>Laidun</t>
  </si>
  <si>
    <t>Tuoresato</t>
  </si>
  <si>
    <t>Kpl</t>
  </si>
  <si>
    <t>€/ha</t>
  </si>
  <si>
    <t>Muut muuttuvat</t>
  </si>
  <si>
    <t>Hehtaarit</t>
  </si>
  <si>
    <t>Vaihtoehto C</t>
  </si>
  <si>
    <t>Koneluettelo</t>
  </si>
  <si>
    <t>Kone</t>
  </si>
  <si>
    <t>Poisto, €</t>
  </si>
  <si>
    <t>Korko, €</t>
  </si>
  <si>
    <t>Huolto, €</t>
  </si>
  <si>
    <t>Yhteensä, €</t>
  </si>
  <si>
    <t>Traktori 1</t>
  </si>
  <si>
    <t>Traktori 2</t>
  </si>
  <si>
    <t>Traktori 3</t>
  </si>
  <si>
    <t>Kyntöaura</t>
  </si>
  <si>
    <t>Äes</t>
  </si>
  <si>
    <t>Kylvökone</t>
  </si>
  <si>
    <t>Lannoitteenlevitin</t>
  </si>
  <si>
    <t>Täydennyskylvökone</t>
  </si>
  <si>
    <t>Kasvinsuojeluruisku</t>
  </si>
  <si>
    <t>Jyrä</t>
  </si>
  <si>
    <t>Niittokone</t>
  </si>
  <si>
    <t>Karhotin</t>
  </si>
  <si>
    <t>Noukinvaunu</t>
  </si>
  <si>
    <t>Peräkärry</t>
  </si>
  <si>
    <t>Oma
osuus, €</t>
  </si>
  <si>
    <t>Summarivi</t>
  </si>
  <si>
    <t>Koneiden perustiedot</t>
  </si>
  <si>
    <t>Vuotuiset kustannukset</t>
  </si>
  <si>
    <t>Kokovilja
säilörehu</t>
  </si>
  <si>
    <t>Muu</t>
  </si>
  <si>
    <t>Yhteensä</t>
  </si>
  <si>
    <t>Tukialue</t>
  </si>
  <si>
    <t>Pelto ja satotiedot</t>
  </si>
  <si>
    <t>Viljelyala yhteensä</t>
  </si>
  <si>
    <t>AB</t>
  </si>
  <si>
    <t>C1</t>
  </si>
  <si>
    <t>C2</t>
  </si>
  <si>
    <t>C3</t>
  </si>
  <si>
    <t>C4</t>
  </si>
  <si>
    <t xml:space="preserve">Luonnonhaittakorvaus, perusosa </t>
  </si>
  <si>
    <t>Luonnonhaittakorvauksen kotieläinkorotus</t>
  </si>
  <si>
    <t>Pohjoinen yleinen ha tuki</t>
  </si>
  <si>
    <t>EU:n nuor. vilj. tuki  (90 ensimm. hehtaarille) 50 €/ha</t>
  </si>
  <si>
    <t>Viherryttämistuki (Cap) (2 kasvia)</t>
  </si>
  <si>
    <t>Perustuki (Cap)</t>
  </si>
  <si>
    <t>Ympäristökorvaus, perusosa  (ravinteiden tasapainoinen käyttö)</t>
  </si>
  <si>
    <t>Kansallinen pohj.  nuoren viljelijän tuki (C-alue) 36 €/ha</t>
  </si>
  <si>
    <t>Luomukorvaus (Kasvitila 160 €/ha, kotieläintila 294 €/ha)</t>
  </si>
  <si>
    <t>Tee tarvittava hienosäätö oman tukialueesi arvoihin</t>
  </si>
  <si>
    <t>Ympäristökorvauksen lohkokohtaiset toimenpiteet:</t>
  </si>
  <si>
    <t>Tuki</t>
  </si>
  <si>
    <t>Muut tuotot</t>
  </si>
  <si>
    <t>Lannoite 1</t>
  </si>
  <si>
    <t>Lannoite 2</t>
  </si>
  <si>
    <t>Kasvinsuojeluaineet</t>
  </si>
  <si>
    <t>Muovit, verkot, jne</t>
  </si>
  <si>
    <t>ha</t>
  </si>
  <si>
    <t>Niitto</t>
  </si>
  <si>
    <t>Karhotus</t>
  </si>
  <si>
    <t>Paalaus</t>
  </si>
  <si>
    <t>Rehunkorjuu</t>
  </si>
  <si>
    <t>Lannanlevitys</t>
  </si>
  <si>
    <t>Kasvinsuojelu</t>
  </si>
  <si>
    <t xml:space="preserve">Jne </t>
  </si>
  <si>
    <t>Rehun siirto</t>
  </si>
  <si>
    <t>Siilojen polkeminen</t>
  </si>
  <si>
    <t>Urakointipalvelut yhteensä, €/ha</t>
  </si>
  <si>
    <t>Hankinta-
hinta, €</t>
  </si>
  <si>
    <t>Jäännös-
arvo, €</t>
  </si>
  <si>
    <t>Käyttö-
aika, vuotta</t>
  </si>
  <si>
    <t>Omistus-
osuus, %</t>
  </si>
  <si>
    <t>Lietevaunu</t>
  </si>
  <si>
    <t>Lietepumppu</t>
  </si>
  <si>
    <t>Jne</t>
  </si>
  <si>
    <t>Urakointipalvelut</t>
  </si>
  <si>
    <t>Koko tila</t>
  </si>
  <si>
    <t>Hehtaaria kohden</t>
  </si>
  <si>
    <t>kg</t>
  </si>
  <si>
    <t>MJ</t>
  </si>
  <si>
    <t>g/kgka</t>
  </si>
  <si>
    <t>kg/ha</t>
  </si>
  <si>
    <t>MJ/ha</t>
  </si>
  <si>
    <t>Kuiva-ainesato</t>
  </si>
  <si>
    <t>MJ-sato</t>
  </si>
  <si>
    <t>Rakennukset</t>
  </si>
  <si>
    <t>Vanhat laakasiilot</t>
  </si>
  <si>
    <t>Uudet laakasiilot</t>
  </si>
  <si>
    <t>Paja</t>
  </si>
  <si>
    <t>Konehalli</t>
  </si>
  <si>
    <t>Rakennusten perustiedot</t>
  </si>
  <si>
    <t>Kustannukset - tuet</t>
  </si>
  <si>
    <t>Kunnos-
sapito, €</t>
  </si>
  <si>
    <t>Maakunta</t>
  </si>
  <si>
    <t>http://statdb.luke.fi/PXWeb/pxweb/fi/LUKE/LUKE__02%20Maatalous__06%20Talous__03%20Pellon%20vuokrahinnat/01_Pellon_vuokrahinnat.px/table/tableViewLayout2/?rxid=b554b79c-92fc-4084-848e-f8dcc5541039</t>
  </si>
  <si>
    <t>Tilasto urakointihinnoista:</t>
  </si>
  <si>
    <t>Peltojen talviaikainen kasvipeitteisyys​ 20 %</t>
  </si>
  <si>
    <t>Peltojen talviaikainen kasvipeitteisyys​ 40 %</t>
  </si>
  <si>
    <t>Peltojen talviaikainen kasvipeitteisyys​ 60 %</t>
  </si>
  <si>
    <t>Peltojen talviaikainen kasvipeitteisyys​ 80 %</t>
  </si>
  <si>
    <t>Lietelannan sijoittaminen peltoon​</t>
  </si>
  <si>
    <t>Muu alue, €/ha</t>
  </si>
  <si>
    <t>Kohdentamisalue, €/ha</t>
  </si>
  <si>
    <t>Omistus
osuus, €</t>
  </si>
  <si>
    <t>Pellon vuokrahinnat 2016</t>
  </si>
  <si>
    <t>Lähde:</t>
  </si>
  <si>
    <t>Luonnonvarakeskus, Pellon vuokrahinnat</t>
  </si>
  <si>
    <t>Päivitetty viimeksi:</t>
  </si>
  <si>
    <t>20170517 09:00</t>
  </si>
  <si>
    <t>Kaikki YHTEENSÄ</t>
  </si>
  <si>
    <t>Uusimaa</t>
  </si>
  <si>
    <t>Varsinais-Suomi</t>
  </si>
  <si>
    <t>Satakunta</t>
  </si>
  <si>
    <t>Häme</t>
  </si>
  <si>
    <t>Pirkanmaa</t>
  </si>
  <si>
    <t>Kaakkois-Suomi</t>
  </si>
  <si>
    <t>Etelä-Savo</t>
  </si>
  <si>
    <t>Pohjois-Savo</t>
  </si>
  <si>
    <t>Pohjois-Karjala</t>
  </si>
  <si>
    <t>Keski-Suomi</t>
  </si>
  <si>
    <t>Etelä-Pohjanmaa</t>
  </si>
  <si>
    <t>Pohjanmaa</t>
  </si>
  <si>
    <t>Pohjois-Pohjanmaa</t>
  </si>
  <si>
    <t>Kainuu</t>
  </si>
  <si>
    <t>Lappi</t>
  </si>
  <si>
    <t>..</t>
  </si>
  <si>
    <t>Ahvenanmaa</t>
  </si>
  <si>
    <t>ELY-keskus</t>
  </si>
  <si>
    <t>Kanta-Häme</t>
  </si>
  <si>
    <t>Päijät-Häme</t>
  </si>
  <si>
    <t>Kymenlaakso</t>
  </si>
  <si>
    <t>Etelä-Karjala</t>
  </si>
  <si>
    <t>Keski-Pohjanmaa</t>
  </si>
  <si>
    <t>Yksinomaan viljeltyä maata sisältävät kiinteistöt 
 rakentamattomat, yli 2 ha</t>
  </si>
  <si>
    <t>Mediaani, €/ha</t>
  </si>
  <si>
    <t>Keskiarvo, €/ha</t>
  </si>
  <si>
    <t>ha keskimäärin</t>
  </si>
  <si>
    <t>Pellon kauppahinnat 2016</t>
  </si>
  <si>
    <t>https://khr.maanmittauslaitos.fi/tilastopalvelu/rest/API/kiinteistokauppojen-tilastopalvelu.html?v=1.2.0&amp;#t41g4_x_2016_x_Maakunta</t>
  </si>
  <si>
    <t xml:space="preserve">Edustava kiinteistökauppa, koko kiinteistön tai määräalan kauppaa, joka ei ole sukulaisten välinen, </t>
  </si>
  <si>
    <t>omistusjärjestely, kaupassa ei ole pidätetty määräalaa, eläke- tms. oikeutta, haja-asutusalue, ei rakennuksia (voi olla arvottomia rakennuksia),</t>
  </si>
  <si>
    <t>1 000 € &lt; kauppahinta &lt; 26 000 €. Voi sisältää maataloustukea (niissä tapauksessa arvo on merkitty irtaimistoksi, tarkastellaan kuitenkin kaupan kokonaishintaa).</t>
  </si>
  <si>
    <t>Peltoa on oltava vähintään 95 % kokonaispinta-alasta. Kokonaispinta-ala vähintään 2 ha.</t>
  </si>
  <si>
    <t>Pellon kauppahinnat 2015</t>
  </si>
  <si>
    <t>Pellon kauppahinnat 2017</t>
  </si>
  <si>
    <t>Lypsy
karja</t>
  </si>
  <si>
    <t>Naudan
liha</t>
  </si>
  <si>
    <t>Vilja</t>
  </si>
  <si>
    <t>Muu kasvi</t>
  </si>
  <si>
    <t>Avomaa</t>
  </si>
  <si>
    <t>Sekamuotoinen</t>
  </si>
  <si>
    <t>75 % kauppahinnasta</t>
  </si>
  <si>
    <t>Korko</t>
  </si>
  <si>
    <t>Omaa peltoa</t>
  </si>
  <si>
    <t>Vuokrapeltoa</t>
  </si>
  <si>
    <t>--&gt; kirjataan nämä mukaan viljelyalaan puolittain = 1 korjattu hehtaari = 0,5 ha ko kasvin viljelyalaksi</t>
  </si>
  <si>
    <t>3. Tukien laskenta</t>
  </si>
  <si>
    <t>Omat ja vuokratut pellot yhteensä</t>
  </si>
  <si>
    <t>Haettu peltotukien kokonaismäärä</t>
  </si>
  <si>
    <t>Tuet hehtaaria kohden keskimäärin</t>
  </si>
  <si>
    <t>Pellosta aiheutuvan pääoma- ja vuokrakustannuksen laskennassa</t>
  </si>
  <si>
    <t>Oman pellon hinta</t>
  </si>
  <si>
    <t>alla olevasta tilastosta alueen toteutuneiden peltokauppojen keskihinta ja siitä noin 75 % tähän pellon "käyväksi arvoksi".</t>
  </si>
  <si>
    <t xml:space="preserve">Tukien laskennassa: </t>
  </si>
  <si>
    <t xml:space="preserve">Pellon hinnaksi tähän joko tilan todellinen peltojen hinta, mitä on maksettu tai </t>
  </si>
  <si>
    <t>Koneisiin sitoutuneen pääoman laskentaa</t>
  </si>
  <si>
    <t>Rakennuksiin sitoutuneen pääoman laskentaa</t>
  </si>
  <si>
    <t>Viljelyalaksi kirjataan kaikki hehtaarit, joilta kerätään satoa (yksikin korjuukerta lasketaan)</t>
  </si>
  <si>
    <t>Rakennus</t>
  </si>
  <si>
    <t>Koneiden huolto ja korjaus</t>
  </si>
  <si>
    <t>Pääasiallinen korjuutapa</t>
  </si>
  <si>
    <t>Pääasiallinen koneiden omistus</t>
  </si>
  <si>
    <t>Päätuotantosuunta</t>
  </si>
  <si>
    <t>Viljelykasvi, jolle laskelma on tehty</t>
  </si>
  <si>
    <t>Satotaso</t>
  </si>
  <si>
    <t>D-arvo</t>
  </si>
  <si>
    <t>Tuotantokustannus</t>
  </si>
  <si>
    <t>Tuotantokustannus - tuet</t>
  </si>
  <si>
    <t>Pyöröpaali</t>
  </si>
  <si>
    <t>Silppuri</t>
  </si>
  <si>
    <t>Ajosilppuri</t>
  </si>
  <si>
    <t>Omat koneet</t>
  </si>
  <si>
    <t>Yhteiskoneet</t>
  </si>
  <si>
    <t>Urakoitsija</t>
  </si>
  <si>
    <t>kg ka/ha</t>
  </si>
  <si>
    <t>Maito</t>
  </si>
  <si>
    <t>Lihanauta</t>
  </si>
  <si>
    <t>Emolehmä</t>
  </si>
  <si>
    <t>Viljelykasvi, jolle laskelma tehty</t>
  </si>
  <si>
    <t>Yhteenveto laskelmasta vertailutietoja varten</t>
  </si>
  <si>
    <t>Satovuosi</t>
  </si>
  <si>
    <t>Käytettyjen urakointipalvelujen laskenta</t>
  </si>
  <si>
    <t>Tilavuuspainon arviointi</t>
  </si>
  <si>
    <t>Esikuivatun nurmisäilörehun ja apilapitoisen säilörehun rehukuution paino/rehukuutio eri paksuuksissa.</t>
  </si>
  <si>
    <t>Kuiva-aine-%</t>
  </si>
  <si>
    <t>Rehun</t>
  </si>
  <si>
    <t>korkeus, m</t>
  </si>
  <si>
    <t>&gt; 2,5</t>
  </si>
  <si>
    <t xml:space="preserve">Oma työ </t>
  </si>
  <si>
    <t>Konekustannus, omat koneet (poisto, korko)</t>
  </si>
  <si>
    <t xml:space="preserve">Oma osuus </t>
  </si>
  <si>
    <t>Koneen kustannusten jakautuminen</t>
  </si>
  <si>
    <t>Muu
kasvi</t>
  </si>
  <si>
    <t>Koneen huoltokustannus ja sen jakautuminen</t>
  </si>
  <si>
    <t>Urakoitsijan tekemä työ (arvio työn osuudesta)</t>
  </si>
  <si>
    <t>Työ- ja konekustannukset yhteensä</t>
  </si>
  <si>
    <t>Työ- ja konekustannukset</t>
  </si>
  <si>
    <t>Kiinteät kustannukset</t>
  </si>
  <si>
    <t>Pelto ja rakennukset</t>
  </si>
  <si>
    <t>Koneet + urakointi (ilman työtä)</t>
  </si>
  <si>
    <t>Tuotantokustannus yhteensä</t>
  </si>
  <si>
    <t>Sähköpostiosoite</t>
  </si>
  <si>
    <t>Syötä nämä alla olevasta linkistä avautuvaan nettikyselylomakkeeseen, niin saat vertailutiedot jälkikäteen sähköpostilla.</t>
  </si>
  <si>
    <t>Viljelyn muuttuvat kustannukset</t>
  </si>
  <si>
    <t>Laskelman kasvin viljelyala</t>
  </si>
  <si>
    <t>Työkustannus</t>
  </si>
  <si>
    <t>Päivitykset</t>
  </si>
  <si>
    <t>Muutos</t>
  </si>
  <si>
    <t>Muutettu kustannusten jaottelua.</t>
  </si>
  <si>
    <t>Yksinkertaistettu kaavoja niin, että toimii paremmin Open Office versioissa</t>
  </si>
  <si>
    <t>Viljelykasvi, jolle laskelma tehdään</t>
  </si>
  <si>
    <t>'Sopimuspeltoja', joista korjataan sato</t>
  </si>
  <si>
    <t xml:space="preserve">Jos osalta alalta korjataan muutakin satoa (esim. korjataan yksi säilörehusato + loppukesä laidunnetaan) </t>
  </si>
  <si>
    <t>Viljelyalaan kirjataan</t>
  </si>
  <si>
    <t>Huomioita</t>
  </si>
  <si>
    <t>2. Omat ja vuokratut pellot (pellon kustannuksen laskentaan)</t>
  </si>
  <si>
    <t>Syötä omat luvut sinisellä fontilla oleviin soluihin! Tämän sivun alaosasta löytyy toteutuneuta pellon kauppahintoja ja vuokrahintoja maakunnittain.</t>
  </si>
  <si>
    <t>Pellosta aiheutuvassa pääomakustannuksessa huomioidaan omistuksessa olevat hehtaarit</t>
  </si>
  <si>
    <t>Vuokrakustannuksessa huomioidaan vuokratut hehtaarit</t>
  </si>
  <si>
    <t>Sopimusaloista ei aiheudu  "peltokustannusta"</t>
  </si>
  <si>
    <t>Vuokrahinnat</t>
  </si>
  <si>
    <t>Keskimäärin nautatiloilla</t>
  </si>
  <si>
    <t>Kauppahinnat 2015-2017</t>
  </si>
  <si>
    <t>Toteutuneet pellon kauppahinnat 2015 - 2017 ja toteutuneet keskivuokrat 2017</t>
  </si>
  <si>
    <t>Vuokrapeltojen keskimääräinen vuokrahinta</t>
  </si>
  <si>
    <t>1. Laskelman kasvin viljelyala omassa viljelyssä sekä sopimuspellot, joilta korjataan sato</t>
  </si>
  <si>
    <t>Ympäristökorvaus, lietteen multaus (max 60 %:lle alasta)</t>
  </si>
  <si>
    <t>Ympäristökorvaus, talviaikainen kasvipeitteisyys 80 %</t>
  </si>
  <si>
    <t>Ympäristökorvaus, muu toimenpide</t>
  </si>
  <si>
    <t>Kansallinen pohj.  nuoren viljelijän tuki (C-alue)</t>
  </si>
  <si>
    <t>EU:n nuor. vilj. tuki  (90 ensimm. hehtaarille)</t>
  </si>
  <si>
    <t>Peltotuet vuodessa yhteensä</t>
  </si>
  <si>
    <t>Tukitaulukko</t>
  </si>
  <si>
    <t>Omat ja vuokratut pellot</t>
  </si>
  <si>
    <t>Vaihtoehto A:</t>
  </si>
  <si>
    <t xml:space="preserve">Tärkeintä on, että saadaan tilan peltotukien kokonaismäärä / kokonaisviljelyalalla oikein laskelmaan. </t>
  </si>
  <si>
    <t>Tähän on pari käypää vaihtoehtoa</t>
  </si>
  <si>
    <t>Syötä tukien kokonaismäärä suoraan soluun E:44</t>
  </si>
  <si>
    <t xml:space="preserve">Valitse pudotusvalikosta tukialue. </t>
  </si>
  <si>
    <t>Syötä hehtaari sarakkeeseen kunkin tuen osalta kuinka monelle hehtaarille saat kyseistä tukea.</t>
  </si>
  <si>
    <t>Tee tarvittavat säädöt myös €/ha sarakkeeseen (esim. jos käytössä muita ympäristökorvauksen toimenpiteitä).</t>
  </si>
  <si>
    <t>Saat näin laskettua riittävällä tarkkuudella peltotukien kokonaismäärän.</t>
  </si>
  <si>
    <t>Ojituksen ja teiden kunnossapito</t>
  </si>
  <si>
    <t>Suojattu yleisön pyynnöstä solut, joita ei saa vahingossa muokata.</t>
  </si>
  <si>
    <t>Lisätty työkustannuskohtaan tarkempi ohje, mitä työvaiheita työmenekkiin huomioidaan.</t>
  </si>
  <si>
    <t>Lisätty Pelto-välilehdelle tukitaulukko helpottamaan tukien laskentaa.</t>
  </si>
  <si>
    <t>yksikkö</t>
  </si>
  <si>
    <t>€/yksikkö</t>
  </si>
  <si>
    <t>paali</t>
  </si>
  <si>
    <t>h</t>
  </si>
  <si>
    <r>
      <t>m</t>
    </r>
    <r>
      <rPr>
        <vertAlign val="superscript"/>
        <sz val="11"/>
        <color rgb="FF0000FF"/>
        <rFont val="Calibri"/>
        <family val="2"/>
        <scheme val="minor"/>
      </rPr>
      <t>3</t>
    </r>
  </si>
  <si>
    <t>http://www.tts.fi/tutkimus_kehitys/hankkeet/maataloushankkeet/koneurakointi/konetyon_kustannukset_ja_tilastolliset_urakointihinnat</t>
  </si>
  <si>
    <t>Pellot luomussa</t>
  </si>
  <si>
    <t>Eläimet luomussa</t>
  </si>
  <si>
    <t>Ei luomussa</t>
  </si>
  <si>
    <t>Onko tuotanto luomussa</t>
  </si>
  <si>
    <t>Muuttuvat viljelykustannukset</t>
  </si>
  <si>
    <t>Suojauksen saa edelleen poistettua ilman salasanaa (Tarkista --&gt; Poista taulukon suojaus)</t>
  </si>
  <si>
    <t>https://www.lyyti.fi/reg/tuotantokustannuskysely</t>
  </si>
  <si>
    <t>Lisätty oma välilehti työmenekin arvioinnin helpottamiseksi</t>
  </si>
  <si>
    <t>Muu
käyttö</t>
  </si>
  <si>
    <t>Koneen poisto ja korko vuodessa ja niiden jakautuminen</t>
  </si>
  <si>
    <t>Muu käyttö</t>
  </si>
  <si>
    <t>Täydennyskylvö</t>
  </si>
  <si>
    <t>Siilojen peittely</t>
  </si>
  <si>
    <t>Kirjalliset työt</t>
  </si>
  <si>
    <t>- viljelysuunnitteluun käytetty aika, myös lähtötietojen anto asiantuntija-avustajalle</t>
  </si>
  <si>
    <t>- viljelymuistiinpanojen ja tukivalvontaa varten tehtäviin töihin käytetty aika</t>
  </si>
  <si>
    <t>- viljelypanosten kilpailutus ja ostot</t>
  </si>
  <si>
    <t>Työmenekin arviointia</t>
  </si>
  <si>
    <t>Lannoitteet nurmille</t>
  </si>
  <si>
    <t>Lannanlevitys nurmille</t>
  </si>
  <si>
    <t>Ojien ja teiden kunnossapito, ojanvarsien niitto</t>
  </si>
  <si>
    <t>Paalien (rehun) siirto talouskeskukseen saakka</t>
  </si>
  <si>
    <t>Nurmen perustamiseen liittyvät muokkaukset ja kylvötyöt</t>
  </si>
  <si>
    <t>* Silloin, kun muokkaukset ja kylvöt tehdään säilörehuksi korjattaville aloille, esim. kokoviljasäilörehu (eli kun ko. lohkojen sato on mukana säilörehun kokonaissadossa)</t>
  </si>
  <si>
    <t>Jos nurmi perustetaan puitavan suojaviljan alle, voidaan muokkaukset ja kylvöt kohdistaa viljan kustannuksiksi.</t>
  </si>
  <si>
    <t>Henkilöä
/pv</t>
  </si>
  <si>
    <t>Työpäivän
pituus, h</t>
  </si>
  <si>
    <t>Tuntia, yht</t>
  </si>
  <si>
    <t>Työpäivää
vuodessa</t>
  </si>
  <si>
    <t>Yhteenveto sitoutuneesta pääomasta</t>
  </si>
  <si>
    <t>Pelto</t>
  </si>
  <si>
    <t>Koneet</t>
  </si>
  <si>
    <t>Salaojat</t>
  </si>
  <si>
    <t>Käyttöpääoma</t>
  </si>
  <si>
    <t>Muu toiminta</t>
  </si>
  <si>
    <t>Salaojituksen kustannus keskimäärin</t>
  </si>
  <si>
    <t>Investointiavustus</t>
  </si>
  <si>
    <t>Kustannus avustuksen jälkeen</t>
  </si>
  <si>
    <t>Käyttöaika</t>
  </si>
  <si>
    <t>v</t>
  </si>
  <si>
    <t>Omaisuuslaji</t>
  </si>
  <si>
    <t>Viljelyssä</t>
  </si>
  <si>
    <t>Rakennukset ja salaojat</t>
  </si>
  <si>
    <t>Salaojituksen kustannus avustuksen jälkeen</t>
  </si>
  <si>
    <t>Rakennukset ja salaojat (poisto, korko, kunnossapit0)</t>
  </si>
  <si>
    <t>Säilörehun korjuu kaikkine vaiheineen</t>
  </si>
  <si>
    <t>Ja omaa työtä</t>
  </si>
  <si>
    <r>
      <t>Säilörehun rehukuution paino, kg/m</t>
    </r>
    <r>
      <rPr>
        <vertAlign val="superscript"/>
        <sz val="11"/>
        <color theme="1"/>
        <rFont val="Calibri"/>
        <family val="2"/>
        <scheme val="minor"/>
      </rPr>
      <t>3</t>
    </r>
  </si>
  <si>
    <t>Varasto</t>
  </si>
  <si>
    <t>Pituus, m</t>
  </si>
  <si>
    <t>Leveys, m</t>
  </si>
  <si>
    <t>Korkeus, m</t>
  </si>
  <si>
    <t>Varaston mitat (keskimäärin)</t>
  </si>
  <si>
    <t>Kuiva-aine, %</t>
  </si>
  <si>
    <t>Kilot</t>
  </si>
  <si>
    <t>Kuiva-
aine, kg</t>
  </si>
  <si>
    <t>tuntia</t>
  </si>
  <si>
    <t>Työmenekki hehtaaria kohden</t>
  </si>
  <si>
    <t>Viljelyala</t>
  </si>
  <si>
    <t>tuntia/ha</t>
  </si>
  <si>
    <t>(vanhat salaojat on peltojen ostohinnassa mukana)</t>
  </si>
  <si>
    <t>Jotka omistaja on tehnyt itse oman yrittäjyyden aikana</t>
  </si>
  <si>
    <t>Työvaiheet</t>
  </si>
  <si>
    <t>Salaojitettua peltoa</t>
  </si>
  <si>
    <t>Tehdyt salaojitukset oman yrittäjyyden aikana (sekä omat että vuokrapellot)</t>
  </si>
  <si>
    <t>Keskimäärin vuoden aikana</t>
  </si>
  <si>
    <t>Muutettu hieman koneet-välilehteä ja rakennukset-välilehteä</t>
  </si>
  <si>
    <t>Täydennetty rehuvarastojen arviointi -välilehteä</t>
  </si>
  <si>
    <t>Lisätty välilehti "Pääoma", johon koottu laskelman eri välilehdiltä viljelyyn sitoutuneen pääoman määrä</t>
  </si>
  <si>
    <t>Muutettu välilehtien järjestystä</t>
  </si>
  <si>
    <t>Lisätty ohje rehuviljan sadonmäärän laskentaa varten (tuoreviljasta 14 % kosteuteen)</t>
  </si>
  <si>
    <t>Sitotunut pääoma yhteensä, €</t>
  </si>
  <si>
    <t>Salaojitukset, jotka omistaja on tehnyt itse oman yrittäjyyden aikana</t>
  </si>
  <si>
    <t>Josta ostettavaa työtä (maksetaan palkka tilan ulkopuoliselle työntekijälle)</t>
  </si>
  <si>
    <t>Työmenekki</t>
  </si>
  <si>
    <t>h/ha</t>
  </si>
  <si>
    <t>Sitoutunut pääoma</t>
  </si>
  <si>
    <t>josta koneisiin</t>
  </si>
  <si>
    <t>Lisätty yhteenveto välilehdelle kaksi kerättävää vertailutietoa, työmenekki h/ha ja sitoutuneen pääoman määrä €/ha</t>
  </si>
  <si>
    <t>Hankinnasta vuotta</t>
  </si>
  <si>
    <t>Korko pääomalle, €</t>
  </si>
  <si>
    <t>Salaojituksesta vuotta keskimäärin</t>
  </si>
  <si>
    <t>Koneiden nykyarvo</t>
  </si>
  <si>
    <t>Rakennusten nykyarvo</t>
  </si>
  <si>
    <t>Salaojituksen nykyarvo</t>
  </si>
  <si>
    <t>Lannoite 3</t>
  </si>
  <si>
    <t>Syötä omat luvut sinisellä fontilla oleviin soluihin!</t>
  </si>
  <si>
    <t>Käyttö-
aika yht, vuotta</t>
  </si>
  <si>
    <t>Paalit 1</t>
  </si>
  <si>
    <t>Paalit 2</t>
  </si>
  <si>
    <t>Paalit 3</t>
  </si>
  <si>
    <t>Paalit 4</t>
  </si>
  <si>
    <t>Paalit 5</t>
  </si>
  <si>
    <t>Paalit 6</t>
  </si>
  <si>
    <t>Huom! Jos tähän tulee pieni luku, niin tarkista, oletko syöttänyt koneiden käyttöajan oikein Koneet-välilehdelle.</t>
  </si>
  <si>
    <t>Vuokra- ja leasingkoneet</t>
  </si>
  <si>
    <t>Lisätty Laskelma-välilehdelle oma rivi vuokra- ja leasingkoneille + muutamia muita pieniä muutoksia</t>
  </si>
  <si>
    <t>3. Salaojitukset</t>
  </si>
  <si>
    <t>Etsi VIPU-palvelusta peltotukien HAETTU kokonaismäärä</t>
  </si>
  <si>
    <t>Vaihtoehto B:</t>
  </si>
  <si>
    <t>Tuet yhteensä</t>
  </si>
  <si>
    <t>Muutettu salaojituksen kustannuksen laskenta Pelto-välilehdelle</t>
  </si>
  <si>
    <t>Lisätty Laskelma-välilehdelle loppuun taulukko, johon laskettu syötetyn säilörehun tuettu tuotantokustannus hävikki huomioiden</t>
  </si>
  <si>
    <t>Tiedot siirtyvät tästä laskelmavälilehdelle.</t>
  </si>
  <si>
    <t>Hehtaaria kohti</t>
  </si>
  <si>
    <t>Ohjeita</t>
  </si>
  <si>
    <r>
      <t xml:space="preserve">
paino, kg/m</t>
    </r>
    <r>
      <rPr>
        <b/>
        <vertAlign val="superscript"/>
        <sz val="11"/>
        <color theme="1"/>
        <rFont val="Calibri"/>
        <family val="2"/>
        <scheme val="minor"/>
      </rPr>
      <t>3</t>
    </r>
  </si>
  <si>
    <t>Kuutio-</t>
  </si>
  <si>
    <t>Taulukko laskee keskimääräisen kuutiopainon ja keskimääräisen kuiva-aineen.</t>
  </si>
  <si>
    <t>Vaihtoehtoisesti urakointikustannuksen voi syöttää riville yhteensä, jos se on valmiiksi laskettuna laskettavan kasvin osalta.</t>
  </si>
  <si>
    <t>Mikäli urakointipalveluja ei käytetä, tämän taulukon voi jättää tyhjäksi.</t>
  </si>
  <si>
    <t>Tällä taulukolla voi laskea urakointikustannuksen työvaiheittain laskettavan kasvin osalta.</t>
  </si>
  <si>
    <t>Kasvustojen ja peltojen kunnon havainnointi</t>
  </si>
  <si>
    <t xml:space="preserve"> </t>
  </si>
  <si>
    <t>Viljellyt hehtaarit</t>
  </si>
  <si>
    <t>kirjoita tähän sähköpostiosoite, johon yhteenveto vertailutiedoista lähetetään</t>
  </si>
  <si>
    <t>€/vuosi</t>
  </si>
  <si>
    <t>Korko, €/ha</t>
  </si>
  <si>
    <t>Näin paljon rehuntuotantoon sitoutuneesta pääomasta aiheutuu laskennallista korkokulua tuotettua rehun kuiva-ainekiloa kohden.</t>
  </si>
  <si>
    <t>Tuotantokustannus ohran hinnaksi muutettuna, €/tn</t>
  </si>
  <si>
    <t>kuinka paljon kuivan ohran tonnihinnaksi laskettuna rehu maksaa (yhtä paljon energiaa kuin kuivassa ohrakilossa, mutta ei huomioi valkuaissisältöä)</t>
  </si>
  <si>
    <t>Tuotantokustannus, snt/kg kuiva-ainetta</t>
  </si>
  <si>
    <t>Sadon määrän arviointi</t>
  </si>
  <si>
    <t>Pinta-alatiedot, pellon hinta, salaojat ja peltotuet laskelmaan</t>
  </si>
  <si>
    <t>snt/kgka</t>
  </si>
  <si>
    <t>Muutettu välilehtien numerointia ja tehty joitakin muutoksia mm. sadon määrä -välilehdelle.</t>
  </si>
  <si>
    <t>Lisätty laskelmavälilehdelle rivi "rehun tuotantokustannus ohran hinnaksi muutettuna"</t>
  </si>
  <si>
    <t>Lisätty Pääoma-välilehdelle laskenta, kuinka paljon sitoutuneesta pääomasta aiheutuu korkokulua hehtaaria ja tuotettua kuiva-ainekiloa kohden.</t>
  </si>
  <si>
    <t>Sato 1</t>
  </si>
  <si>
    <t>Sato 2</t>
  </si>
  <si>
    <t>Sato 3</t>
  </si>
  <si>
    <t>Sato 4</t>
  </si>
  <si>
    <t xml:space="preserve">Syötä taulukkoon rehuvarastokohtaiset tiedot. </t>
  </si>
  <si>
    <r>
      <t>Paalit, kpl / kuutiot, m</t>
    </r>
    <r>
      <rPr>
        <b/>
        <vertAlign val="superscript"/>
        <sz val="11"/>
        <color theme="1"/>
        <rFont val="Calibri"/>
        <family val="2"/>
        <scheme val="minor"/>
      </rPr>
      <t>3</t>
    </r>
  </si>
  <si>
    <t>Alla on taulukko, jota voi hyödyntää kuutiopainon arvioinnissa.</t>
  </si>
  <si>
    <t>Valitse taulukosta rehuerää vastaava kuiva-ainepitoisuus ja auman tai siilon rehumassan paksuus ja katso sarakkeesta tilavuuspaino. </t>
  </si>
  <si>
    <t>Kivien keruu</t>
  </si>
  <si>
    <t>Rehuvarastojen puhditus ja muu valmistelu, muovien hävittäminen</t>
  </si>
  <si>
    <t>Peltojen peruskunnostustyöt nurmilohkojen osalta</t>
  </si>
  <si>
    <t>Kirjalliset työt, kuten:</t>
  </si>
  <si>
    <t>Tuotantopanosten vastaanotto ja varastojen järjestely</t>
  </si>
  <si>
    <t>Tuotantokustannus, snt/MJ (energian hinta)</t>
  </si>
  <si>
    <r>
      <t xml:space="preserve">Sitoutunut pääoma </t>
    </r>
    <r>
      <rPr>
        <b/>
        <u/>
        <sz val="11"/>
        <color theme="1"/>
        <rFont val="Calibri"/>
        <family val="2"/>
        <scheme val="minor"/>
      </rPr>
      <t>viljely</t>
    </r>
    <r>
      <rPr>
        <b/>
        <sz val="11"/>
        <color theme="1"/>
        <rFont val="Calibri"/>
        <family val="2"/>
        <scheme val="minor"/>
      </rPr>
      <t>hehtaaria kohden, €/ha</t>
    </r>
  </si>
  <si>
    <t>Siilo / auma 1</t>
  </si>
  <si>
    <t>Siilo / auma 2</t>
  </si>
  <si>
    <t>Siilo / auma 3</t>
  </si>
  <si>
    <t>Siilo / auma 4</t>
  </si>
  <si>
    <t>Siilo / auma 5</t>
  </si>
  <si>
    <t>Siilo / auma 6</t>
  </si>
  <si>
    <t>MJ/kgka</t>
  </si>
  <si>
    <t>MJ yht</t>
  </si>
  <si>
    <t>Näille riveille voit merkitä sadon määrän tuorekiloina,</t>
  </si>
  <si>
    <t xml:space="preserve">jos sato on punnittu tai sadon määärä saadaan </t>
  </si>
  <si>
    <t>valmiiksi kiloina esim. ajosilppurista.</t>
  </si>
  <si>
    <t>Sadon määrän arviointi rehuvarastojen kautta (tai punnittujen satotietojen syöttäminen laskelmaan)</t>
  </si>
  <si>
    <t>Viljelytöiden johtaminen, palkatun työvoiman tai urakoitsijan työnjohtoon käytettävä aika peltotöiden osalta</t>
  </si>
  <si>
    <t>Korko, snt/kgka</t>
  </si>
  <si>
    <t>kgka</t>
  </si>
  <si>
    <t>Eläimiä</t>
  </si>
  <si>
    <t>kpl</t>
  </si>
  <si>
    <t>Myydyt eläimet vuodessa</t>
  </si>
  <si>
    <t>Arvio säilörehusadon riittävyydestä, kk</t>
  </si>
  <si>
    <t>kk</t>
  </si>
  <si>
    <t>Säilörehun vuosikulutus</t>
  </si>
  <si>
    <t>Kulutus eläintä kohden</t>
  </si>
  <si>
    <t>Syötetyn rehun kustannus vuodessa</t>
  </si>
  <si>
    <t>Syötetyn rehun kustannus eläintä kohden vuodessa</t>
  </si>
  <si>
    <t>Myydyt litrat tai kilot vuodessa</t>
  </si>
  <si>
    <t>litraa tai kiloa</t>
  </si>
  <si>
    <t>Syötetyn rehun kustannus myytyä litraa tai kiloa kohden</t>
  </si>
  <si>
    <t>snt/litra tai kilo</t>
  </si>
  <si>
    <t>€/myyty eläin</t>
  </si>
  <si>
    <t>Analyysiä säilörehun tuotantokustannuksen merkityksestä</t>
  </si>
  <si>
    <t>Kuiva-ainesadon määrä</t>
  </si>
  <si>
    <t>snt/MJ</t>
  </si>
  <si>
    <t>Rehukustannus myytyä litraa, kiloa, tai eläintä kohden</t>
  </si>
  <si>
    <t>Hävikin (säilöntätappiot) aiheuttama kustannus</t>
  </si>
  <si>
    <t>Jos hävikki 2 %, kustannus</t>
  </si>
  <si>
    <t>Jos hävikki 5 %, kustannus</t>
  </si>
  <si>
    <t>Jos hävikki 10 %, kustannus</t>
  </si>
  <si>
    <t>Jos hävikki 15 %, kustannus</t>
  </si>
  <si>
    <t>Jos hävikki 20 %, kustannus</t>
  </si>
  <si>
    <t>Jos hävikki 25 %, kustannus</t>
  </si>
  <si>
    <t>Jos hävikki 30 %, kustannus</t>
  </si>
  <si>
    <t>Syötetyn rehun kustannus myytyä eläintä kohden</t>
  </si>
  <si>
    <t>Muutettu lopputulokset muotoon snt/kgka (oli aiemmin €/kgka)</t>
  </si>
  <si>
    <t>Kuinka pitkään tuotantokustannuslaskelmaan kirjatulla kokonaissadolla voidaan ruokkia karjaa</t>
  </si>
  <si>
    <t>Lypsylehmien, emolehmien, tai lihanautojen määrä (ei uudistuseläimiä)</t>
  </si>
  <si>
    <t>Sisältää hävikin sekä maito- ja emotiloilla myös nuorkarjan rehut</t>
  </si>
  <si>
    <t>€/tn</t>
  </si>
  <si>
    <t>Tuettu tuotantokustannus ohran hintana</t>
  </si>
  <si>
    <t>Energian hinta</t>
  </si>
  <si>
    <t>Lisätty Analyysi-välilehti, jossa voi laskea, kuinka paljon säilörehukustannus on tuotettua maito- tai lihakiloa kohden</t>
  </si>
  <si>
    <t>Siemenet</t>
  </si>
  <si>
    <t>Nurmen tuotantokustannuslaskelman käyttö</t>
  </si>
  <si>
    <t>Saatteeksi ja kiitokset</t>
  </si>
  <si>
    <t>Maissisäilörehu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</si>
</sst>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
    <numFmt numFmtId="166" formatCode="#,##0.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indexed="12"/>
      <name val="Calibri"/>
      <family val="2"/>
      <scheme val="minor"/>
    </font>
    <font>
      <b/>
      <sz val="14"/>
      <color theme="1"/>
      <name val="Calibri"/>
      <family val="2"/>
      <scheme val="minor"/>
    </font>
    <font>
      <b/>
      <sz val="9"/>
      <color indexed="81"/>
      <name val="Tahoma"/>
      <family val="2"/>
    </font>
    <font>
      <sz val="9"/>
      <color indexed="81"/>
      <name val="Tahoma"/>
      <family val="2"/>
    </font>
    <font>
      <sz val="11"/>
      <color rgb="FFFF0000"/>
      <name val="Calibri"/>
      <family val="2"/>
      <scheme val="minor"/>
    </font>
    <font>
      <b/>
      <sz val="16"/>
      <color theme="1"/>
      <name val="Calibri"/>
      <family val="2"/>
      <scheme val="minor"/>
    </font>
    <font>
      <vertAlign val="superscript"/>
      <sz val="11"/>
      <color theme="1"/>
      <name val="Calibri"/>
      <family val="2"/>
      <scheme val="minor"/>
    </font>
    <font>
      <sz val="11"/>
      <color rgb="FF0000FF"/>
      <name val="Calibri"/>
      <family val="2"/>
      <scheme val="minor"/>
    </font>
    <font>
      <b/>
      <sz val="11"/>
      <color rgb="FF0000FF"/>
      <name val="Calibri"/>
      <family val="2"/>
      <scheme val="minor"/>
    </font>
    <font>
      <b/>
      <sz val="11"/>
      <color rgb="FFFF0000"/>
      <name val="Calibri"/>
      <family val="2"/>
      <scheme val="minor"/>
    </font>
    <font>
      <u/>
      <sz val="11"/>
      <color theme="10"/>
      <name val="Calibri"/>
      <family val="2"/>
      <scheme val="minor"/>
    </font>
    <font>
      <sz val="11"/>
      <color indexed="8"/>
      <name val="Calibri"/>
      <family val="2"/>
      <scheme val="minor"/>
    </font>
    <font>
      <b/>
      <sz val="14"/>
      <color rgb="FFFF0000"/>
      <name val="Calibri"/>
      <family val="2"/>
      <scheme val="minor"/>
    </font>
    <font>
      <sz val="11"/>
      <color theme="0"/>
      <name val="Calibri"/>
      <family val="2"/>
      <scheme val="minor"/>
    </font>
    <font>
      <sz val="11"/>
      <color theme="0" tint="-0.499984740745262"/>
      <name val="Calibri"/>
      <family val="2"/>
      <scheme val="minor"/>
    </font>
    <font>
      <b/>
      <sz val="12"/>
      <color theme="1"/>
      <name val="Calibri"/>
      <family val="2"/>
      <scheme val="minor"/>
    </font>
    <font>
      <b/>
      <sz val="11"/>
      <color theme="0" tint="-0.499984740745262"/>
      <name val="Calibri"/>
      <family val="2"/>
      <scheme val="minor"/>
    </font>
    <font>
      <sz val="11"/>
      <color rgb="FF333333"/>
      <name val="Arial"/>
      <family val="2"/>
    </font>
    <font>
      <b/>
      <sz val="14"/>
      <name val="Calibri"/>
      <family val="2"/>
      <scheme val="minor"/>
    </font>
    <font>
      <vertAlign val="superscript"/>
      <sz val="11"/>
      <color rgb="FF0000FF"/>
      <name val="Calibri"/>
      <family val="2"/>
      <scheme val="minor"/>
    </font>
    <font>
      <b/>
      <vertAlign val="superscript"/>
      <sz val="11"/>
      <color theme="1"/>
      <name val="Calibri"/>
      <family val="2"/>
      <scheme val="minor"/>
    </font>
    <font>
      <b/>
      <sz val="11"/>
      <color theme="0"/>
      <name val="Calibri"/>
      <family val="2"/>
      <scheme val="minor"/>
    </font>
    <font>
      <sz val="8"/>
      <name val="Calibri"/>
      <family val="2"/>
      <scheme val="minor"/>
    </font>
    <font>
      <b/>
      <u/>
      <sz val="11"/>
      <color theme="1"/>
      <name val="Calibri"/>
      <family val="2"/>
      <scheme val="minor"/>
    </font>
    <font>
      <sz val="11"/>
      <color theme="0" tint="-0.14999847407452621"/>
      <name val="Calibri"/>
      <family val="2"/>
      <scheme val="minor"/>
    </font>
    <font>
      <b/>
      <sz val="11"/>
      <color theme="1" tint="0.499984740745262"/>
      <name val="Calibri"/>
      <family val="2"/>
      <scheme val="minor"/>
    </font>
    <font>
      <sz val="11"/>
      <color theme="1" tint="0.499984740745262"/>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s>
  <borders count="19">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0" fontId="16" fillId="0" borderId="0"/>
  </cellStyleXfs>
  <cellXfs count="336">
    <xf numFmtId="0" fontId="0" fillId="0" borderId="0" xfId="0"/>
    <xf numFmtId="0" fontId="2" fillId="0" borderId="0" xfId="0" applyFont="1" applyBorder="1"/>
    <xf numFmtId="0" fontId="0" fillId="0" borderId="0" xfId="0" applyFont="1" applyBorder="1"/>
    <xf numFmtId="0" fontId="2" fillId="0" borderId="1" xfId="0" applyFont="1" applyBorder="1"/>
    <xf numFmtId="0" fontId="2" fillId="0" borderId="0" xfId="0" applyFont="1"/>
    <xf numFmtId="0" fontId="6" fillId="0" borderId="0" xfId="0" applyFont="1"/>
    <xf numFmtId="0" fontId="0" fillId="0" borderId="1" xfId="0" applyBorder="1"/>
    <xf numFmtId="164" fontId="4" fillId="0" borderId="0" xfId="0" applyNumberFormat="1" applyFont="1" applyBorder="1"/>
    <xf numFmtId="1" fontId="0" fillId="0" borderId="0" xfId="0" applyNumberFormat="1"/>
    <xf numFmtId="164" fontId="0" fillId="0" borderId="0" xfId="0" applyNumberFormat="1"/>
    <xf numFmtId="1" fontId="0" fillId="0" borderId="1" xfId="0" applyNumberFormat="1" applyBorder="1"/>
    <xf numFmtId="0" fontId="0" fillId="0" borderId="0" xfId="0" applyBorder="1"/>
    <xf numFmtId="1" fontId="0" fillId="0" borderId="0" xfId="0" applyNumberFormat="1" applyBorder="1"/>
    <xf numFmtId="1" fontId="2" fillId="0" borderId="0" xfId="0" applyNumberFormat="1" applyFont="1" applyBorder="1"/>
    <xf numFmtId="3" fontId="0" fillId="0" borderId="0" xfId="0" applyNumberFormat="1"/>
    <xf numFmtId="0" fontId="4" fillId="0" borderId="0" xfId="0" applyFont="1" applyBorder="1"/>
    <xf numFmtId="0" fontId="4" fillId="0" borderId="0" xfId="0" applyFont="1"/>
    <xf numFmtId="2" fontId="4" fillId="0" borderId="0" xfId="0" applyNumberFormat="1" applyFont="1"/>
    <xf numFmtId="3" fontId="4" fillId="0" borderId="0" xfId="0" applyNumberFormat="1" applyFont="1"/>
    <xf numFmtId="3" fontId="0" fillId="0" borderId="1" xfId="0" applyNumberFormat="1" applyBorder="1"/>
    <xf numFmtId="0" fontId="0" fillId="0" borderId="0" xfId="0" applyFill="1" applyBorder="1"/>
    <xf numFmtId="3" fontId="9" fillId="0" borderId="0" xfId="0" applyNumberFormat="1" applyFont="1" applyBorder="1"/>
    <xf numFmtId="0" fontId="2" fillId="0" borderId="1" xfId="0" applyFont="1" applyBorder="1" applyAlignment="1">
      <alignment horizontal="center"/>
    </xf>
    <xf numFmtId="0" fontId="10" fillId="0" borderId="0" xfId="0" applyFont="1"/>
    <xf numFmtId="0" fontId="0" fillId="0" borderId="0" xfId="0" applyFont="1"/>
    <xf numFmtId="3" fontId="4" fillId="0" borderId="0" xfId="0" applyNumberFormat="1" applyFont="1" applyBorder="1"/>
    <xf numFmtId="0" fontId="3" fillId="0" borderId="0" xfId="0" applyFont="1" applyBorder="1"/>
    <xf numFmtId="0" fontId="0" fillId="0" borderId="0" xfId="0" applyAlignment="1">
      <alignment horizontal="center"/>
    </xf>
    <xf numFmtId="0" fontId="9" fillId="0" borderId="0" xfId="0" applyFont="1"/>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horizontal="left" indent="2"/>
    </xf>
    <xf numFmtId="0" fontId="0" fillId="0" borderId="0" xfId="0" applyFont="1" applyBorder="1" applyAlignment="1">
      <alignment horizontal="center"/>
    </xf>
    <xf numFmtId="0" fontId="3"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3" fontId="12" fillId="0" borderId="0" xfId="0" applyNumberFormat="1" applyFont="1"/>
    <xf numFmtId="3" fontId="12" fillId="0" borderId="1" xfId="0" applyNumberFormat="1" applyFont="1" applyBorder="1"/>
    <xf numFmtId="3" fontId="2" fillId="0" borderId="0" xfId="0" applyNumberFormat="1" applyFont="1"/>
    <xf numFmtId="165" fontId="13" fillId="0" borderId="0" xfId="1" applyNumberFormat="1" applyFont="1"/>
    <xf numFmtId="0" fontId="2" fillId="0" borderId="0" xfId="0" applyFont="1" applyFill="1" applyBorder="1"/>
    <xf numFmtId="0" fontId="0" fillId="0" borderId="0" xfId="0" applyAlignment="1">
      <alignment horizontal="right"/>
    </xf>
    <xf numFmtId="164" fontId="2" fillId="0" borderId="0" xfId="0" applyNumberFormat="1" applyFont="1"/>
    <xf numFmtId="1" fontId="2" fillId="2" borderId="1" xfId="0" applyNumberFormat="1" applyFont="1" applyFill="1" applyBorder="1" applyAlignment="1">
      <alignment horizontal="center"/>
    </xf>
    <xf numFmtId="0" fontId="3" fillId="2" borderId="1" xfId="0" applyFont="1" applyFill="1" applyBorder="1" applyAlignment="1">
      <alignment horizontal="center"/>
    </xf>
    <xf numFmtId="9" fontId="4" fillId="0" borderId="0" xfId="1" applyFont="1" applyBorder="1"/>
    <xf numFmtId="3" fontId="0" fillId="0" borderId="0" xfId="0" applyNumberFormat="1" applyBorder="1"/>
    <xf numFmtId="3" fontId="2" fillId="0" borderId="0" xfId="0" applyNumberFormat="1" applyFont="1" applyBorder="1"/>
    <xf numFmtId="164" fontId="4" fillId="0" borderId="0" xfId="0" applyNumberFormat="1" applyFont="1"/>
    <xf numFmtId="1" fontId="4" fillId="0" borderId="0" xfId="0" applyNumberFormat="1" applyFont="1"/>
    <xf numFmtId="0" fontId="4" fillId="0" borderId="0" xfId="0" applyFont="1" applyFill="1" applyBorder="1"/>
    <xf numFmtId="1" fontId="4" fillId="0" borderId="1" xfId="0" applyNumberFormat="1" applyFont="1" applyBorder="1"/>
    <xf numFmtId="9" fontId="4" fillId="0" borderId="1" xfId="1" applyFont="1" applyBorder="1"/>
    <xf numFmtId="0" fontId="4" fillId="0" borderId="1" xfId="0" applyFont="1" applyBorder="1"/>
    <xf numFmtId="0" fontId="2" fillId="2" borderId="0" xfId="0" applyFont="1" applyFill="1"/>
    <xf numFmtId="3" fontId="2" fillId="2" borderId="0" xfId="0" applyNumberFormat="1" applyFont="1" applyFill="1"/>
    <xf numFmtId="0" fontId="15" fillId="0" borderId="0" xfId="2"/>
    <xf numFmtId="0" fontId="2" fillId="0" borderId="1" xfId="0" applyFont="1" applyFill="1" applyBorder="1" applyAlignment="1">
      <alignment wrapText="1"/>
    </xf>
    <xf numFmtId="0" fontId="2" fillId="0" borderId="1" xfId="0" applyFont="1" applyBorder="1" applyAlignment="1">
      <alignment horizontal="center"/>
    </xf>
    <xf numFmtId="3" fontId="14" fillId="0" borderId="0" xfId="0" applyNumberFormat="1" applyFont="1"/>
    <xf numFmtId="0" fontId="9" fillId="0" borderId="0" xfId="0" applyFont="1" applyFill="1" applyBorder="1"/>
    <xf numFmtId="0" fontId="9" fillId="0" borderId="0" xfId="0" applyFont="1" applyAlignment="1">
      <alignment horizontal="center"/>
    </xf>
    <xf numFmtId="0" fontId="0" fillId="0" borderId="0" xfId="0" applyAlignment="1"/>
    <xf numFmtId="0" fontId="2" fillId="0" borderId="0" xfId="0" applyFont="1" applyAlignment="1"/>
    <xf numFmtId="0" fontId="2" fillId="0" borderId="1" xfId="0" applyFont="1" applyBorder="1" applyAlignment="1"/>
    <xf numFmtId="3" fontId="0" fillId="0" borderId="0" xfId="0" applyNumberFormat="1" applyAlignment="1"/>
    <xf numFmtId="3" fontId="0" fillId="0" borderId="1" xfId="0" applyNumberFormat="1" applyBorder="1" applyAlignment="1"/>
    <xf numFmtId="0" fontId="15" fillId="0" borderId="0" xfId="2" applyAlignment="1"/>
    <xf numFmtId="0" fontId="0" fillId="2" borderId="0" xfId="0" applyFill="1"/>
    <xf numFmtId="0" fontId="2" fillId="2" borderId="1" xfId="0" applyFont="1" applyFill="1" applyBorder="1" applyAlignment="1">
      <alignment wrapText="1"/>
    </xf>
    <xf numFmtId="0" fontId="17" fillId="0" borderId="0" xfId="0" applyFont="1"/>
    <xf numFmtId="165" fontId="0" fillId="0" borderId="0" xfId="1" applyNumberFormat="1" applyFont="1"/>
    <xf numFmtId="0" fontId="0" fillId="0" borderId="0" xfId="0" quotePrefix="1"/>
    <xf numFmtId="0" fontId="19" fillId="0" borderId="0" xfId="0" applyFont="1"/>
    <xf numFmtId="3" fontId="9" fillId="0" borderId="0" xfId="0" applyNumberFormat="1" applyFont="1"/>
    <xf numFmtId="0" fontId="0" fillId="0" borderId="0" xfId="0" applyFill="1"/>
    <xf numFmtId="2" fontId="0" fillId="0" borderId="0" xfId="0" applyNumberFormat="1"/>
    <xf numFmtId="0" fontId="4" fillId="0" borderId="0" xfId="0" applyFont="1" applyBorder="1" applyAlignment="1">
      <alignment horizontal="left"/>
    </xf>
    <xf numFmtId="4" fontId="4" fillId="0" borderId="0" xfId="0" applyNumberFormat="1" applyFont="1" applyBorder="1"/>
    <xf numFmtId="4" fontId="3" fillId="0" borderId="0" xfId="0" applyNumberFormat="1" applyFont="1" applyBorder="1"/>
    <xf numFmtId="0" fontId="4" fillId="0" borderId="0" xfId="0" applyFont="1" applyBorder="1" applyAlignment="1">
      <alignment horizontal="right"/>
    </xf>
    <xf numFmtId="0" fontId="3" fillId="0" borderId="0" xfId="0" applyFont="1" applyBorder="1" applyAlignment="1">
      <alignment horizontal="right"/>
    </xf>
    <xf numFmtId="0" fontId="12" fillId="0" borderId="0" xfId="0" applyFont="1" applyBorder="1" applyAlignment="1">
      <alignment horizontal="right"/>
    </xf>
    <xf numFmtId="4" fontId="4" fillId="0" borderId="0" xfId="0" applyNumberFormat="1" applyFont="1"/>
    <xf numFmtId="3" fontId="21" fillId="0" borderId="0" xfId="0" applyNumberFormat="1" applyFont="1"/>
    <xf numFmtId="3" fontId="19" fillId="0" borderId="0" xfId="0" applyNumberFormat="1" applyFont="1"/>
    <xf numFmtId="0" fontId="21" fillId="0" borderId="0" xfId="0" applyFont="1"/>
    <xf numFmtId="0" fontId="18" fillId="0" borderId="0" xfId="0" applyFont="1"/>
    <xf numFmtId="0" fontId="18" fillId="0" borderId="0" xfId="0" applyFont="1" applyAlignment="1">
      <alignment wrapText="1"/>
    </xf>
    <xf numFmtId="0" fontId="0" fillId="0" borderId="7" xfId="0" applyBorder="1"/>
    <xf numFmtId="0" fontId="0" fillId="0" borderId="2" xfId="0" applyBorder="1"/>
    <xf numFmtId="0" fontId="0" fillId="0" borderId="4" xfId="0" applyBorder="1"/>
    <xf numFmtId="0" fontId="0" fillId="0" borderId="9" xfId="0" applyBorder="1"/>
    <xf numFmtId="0" fontId="0" fillId="0" borderId="10" xfId="0" applyBorder="1"/>
    <xf numFmtId="0" fontId="0" fillId="0" borderId="6"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5" xfId="0" applyBorder="1" applyAlignment="1">
      <alignment horizontal="center"/>
    </xf>
    <xf numFmtId="164" fontId="0" fillId="0" borderId="11" xfId="0" applyNumberFormat="1" applyBorder="1" applyAlignment="1">
      <alignment horizontal="center"/>
    </xf>
    <xf numFmtId="164" fontId="0" fillId="0" borderId="10" xfId="0" applyNumberFormat="1" applyBorder="1" applyAlignment="1">
      <alignment horizontal="center"/>
    </xf>
    <xf numFmtId="165" fontId="4" fillId="0" borderId="0" xfId="0" applyNumberFormat="1" applyFont="1"/>
    <xf numFmtId="165" fontId="4" fillId="0" borderId="0" xfId="1" applyNumberFormat="1" applyFont="1"/>
    <xf numFmtId="3" fontId="0" fillId="0" borderId="0" xfId="0" applyNumberFormat="1" applyFont="1" applyBorder="1" applyAlignment="1">
      <alignment shrinkToFit="1"/>
    </xf>
    <xf numFmtId="0" fontId="0" fillId="0" borderId="0" xfId="0" applyFont="1" applyFill="1" applyBorder="1"/>
    <xf numFmtId="0" fontId="2" fillId="0" borderId="0" xfId="0" applyFont="1" applyAlignment="1">
      <alignment horizontal="left"/>
    </xf>
    <xf numFmtId="0" fontId="19" fillId="0" borderId="0" xfId="0" applyFont="1" applyFill="1" applyBorder="1"/>
    <xf numFmtId="0" fontId="19" fillId="0" borderId="0" xfId="0" applyFont="1" applyBorder="1"/>
    <xf numFmtId="3" fontId="19" fillId="0" borderId="0" xfId="0" applyNumberFormat="1" applyFont="1" applyBorder="1"/>
    <xf numFmtId="2" fontId="4" fillId="0" borderId="0" xfId="0" applyNumberFormat="1" applyFont="1" applyBorder="1"/>
    <xf numFmtId="2" fontId="4" fillId="0" borderId="1" xfId="0" applyNumberFormat="1" applyFont="1" applyBorder="1"/>
    <xf numFmtId="1" fontId="4" fillId="0" borderId="0" xfId="0" applyNumberFormat="1" applyFont="1" applyBorder="1"/>
    <xf numFmtId="1" fontId="19" fillId="0" borderId="0" xfId="0" applyNumberFormat="1" applyFont="1"/>
    <xf numFmtId="0" fontId="22" fillId="0" borderId="0" xfId="0" applyFont="1"/>
    <xf numFmtId="9" fontId="19" fillId="0" borderId="0" xfId="1" applyFont="1"/>
    <xf numFmtId="0" fontId="4" fillId="0" borderId="0" xfId="0" quotePrefix="1" applyFont="1" applyFill="1" applyBorder="1"/>
    <xf numFmtId="0" fontId="3" fillId="0" borderId="0" xfId="0" applyFont="1" applyFill="1" applyBorder="1"/>
    <xf numFmtId="0" fontId="3" fillId="0" borderId="0" xfId="0" applyFont="1"/>
    <xf numFmtId="3" fontId="3" fillId="0" borderId="0" xfId="0" applyNumberFormat="1" applyFont="1" applyBorder="1"/>
    <xf numFmtId="0" fontId="3" fillId="2" borderId="1" xfId="0" applyFont="1" applyFill="1" applyBorder="1" applyAlignment="1"/>
    <xf numFmtId="9" fontId="19" fillId="0" borderId="0" xfId="1" applyFont="1" applyBorder="1"/>
    <xf numFmtId="0" fontId="0" fillId="0" borderId="7" xfId="0" applyBorder="1" applyAlignment="1"/>
    <xf numFmtId="0" fontId="0" fillId="0" borderId="2" xfId="0" applyBorder="1" applyAlignment="1"/>
    <xf numFmtId="0" fontId="2" fillId="0" borderId="7" xfId="0" applyFont="1" applyBorder="1" applyAlignment="1"/>
    <xf numFmtId="0" fontId="2" fillId="0" borderId="7" xfId="0" applyFont="1" applyFill="1" applyBorder="1" applyAlignment="1"/>
    <xf numFmtId="0" fontId="0" fillId="0" borderId="4" xfId="0" applyBorder="1" applyAlignment="1"/>
    <xf numFmtId="0" fontId="2" fillId="0" borderId="6" xfId="0" applyFont="1" applyBorder="1" applyAlignment="1"/>
    <xf numFmtId="0" fontId="0" fillId="0" borderId="1" xfId="0" applyBorder="1" applyAlignment="1"/>
    <xf numFmtId="0" fontId="2" fillId="0" borderId="6" xfId="0" applyFont="1" applyFill="1" applyBorder="1" applyAlignment="1"/>
    <xf numFmtId="0" fontId="2" fillId="0" borderId="1" xfId="0" applyFont="1" applyFill="1" applyBorder="1" applyAlignment="1"/>
    <xf numFmtId="0" fontId="2" fillId="0" borderId="3" xfId="0" applyFont="1" applyFill="1" applyBorder="1" applyAlignment="1"/>
    <xf numFmtId="0" fontId="0" fillId="0" borderId="8" xfId="0" applyBorder="1"/>
    <xf numFmtId="0" fontId="0" fillId="0" borderId="0" xfId="0" applyBorder="1" applyAlignment="1"/>
    <xf numFmtId="3" fontId="0" fillId="0" borderId="8" xfId="0" applyNumberFormat="1" applyBorder="1"/>
    <xf numFmtId="0" fontId="0" fillId="0" borderId="8" xfId="0" applyBorder="1" applyAlignment="1"/>
    <xf numFmtId="0" fontId="9" fillId="0" borderId="5" xfId="0" applyFont="1" applyBorder="1" applyAlignment="1"/>
    <xf numFmtId="0" fontId="0" fillId="0" borderId="6" xfId="0" applyBorder="1"/>
    <xf numFmtId="3" fontId="0" fillId="0" borderId="6" xfId="0" applyNumberFormat="1" applyBorder="1"/>
    <xf numFmtId="3" fontId="9" fillId="0" borderId="1" xfId="0" applyNumberFormat="1" applyFont="1" applyBorder="1"/>
    <xf numFmtId="0" fontId="0" fillId="0" borderId="6" xfId="0" applyBorder="1" applyAlignment="1"/>
    <xf numFmtId="0" fontId="9" fillId="0" borderId="3" xfId="0" applyFont="1" applyBorder="1" applyAlignment="1"/>
    <xf numFmtId="0" fontId="23" fillId="0" borderId="0" xfId="0" applyFont="1"/>
    <xf numFmtId="3" fontId="0" fillId="0" borderId="0" xfId="0" applyNumberFormat="1" applyFill="1" applyBorder="1"/>
    <xf numFmtId="0" fontId="2" fillId="0" borderId="0" xfId="0" applyFont="1" applyAlignment="1">
      <alignment horizontal="center"/>
    </xf>
    <xf numFmtId="14" fontId="0" fillId="0" borderId="0" xfId="0" applyNumberFormat="1"/>
    <xf numFmtId="0" fontId="12" fillId="0" borderId="0" xfId="0" applyFont="1" applyAlignment="1" applyProtection="1">
      <alignment horizontal="right"/>
      <protection locked="0"/>
    </xf>
    <xf numFmtId="3" fontId="5" fillId="0" borderId="0" xfId="0" applyNumberFormat="1" applyFont="1" applyBorder="1" applyProtection="1">
      <protection locked="0"/>
    </xf>
    <xf numFmtId="1" fontId="12" fillId="0" borderId="0" xfId="0" applyNumberFormat="1" applyFont="1" applyBorder="1" applyProtection="1">
      <protection locked="0"/>
    </xf>
    <xf numFmtId="0" fontId="0" fillId="0" borderId="0" xfId="0" applyProtection="1">
      <protection locked="0"/>
    </xf>
    <xf numFmtId="3" fontId="12" fillId="0" borderId="0" xfId="0" applyNumberFormat="1" applyFont="1" applyProtection="1">
      <protection locked="0"/>
    </xf>
    <xf numFmtId="1" fontId="12" fillId="0" borderId="0" xfId="0" applyNumberFormat="1" applyFont="1" applyProtection="1">
      <protection locked="0"/>
    </xf>
    <xf numFmtId="0" fontId="12" fillId="0" borderId="0" xfId="0" applyFont="1" applyBorder="1" applyAlignment="1" applyProtection="1">
      <alignment horizontal="right"/>
      <protection locked="0"/>
    </xf>
    <xf numFmtId="0" fontId="2" fillId="0" borderId="1" xfId="0" applyFont="1" applyBorder="1" applyAlignment="1" applyProtection="1">
      <alignment horizontal="center"/>
      <protection locked="0"/>
    </xf>
    <xf numFmtId="0" fontId="12" fillId="0" borderId="0" xfId="0" applyFont="1" applyProtection="1">
      <protection locked="0"/>
    </xf>
    <xf numFmtId="0" fontId="0" fillId="0" borderId="0" xfId="0" applyBorder="1" applyProtection="1">
      <protection locked="0"/>
    </xf>
    <xf numFmtId="0" fontId="12" fillId="0" borderId="1" xfId="0" applyFont="1" applyBorder="1" applyProtection="1">
      <protection locked="0"/>
    </xf>
    <xf numFmtId="3" fontId="4" fillId="0" borderId="0" xfId="0" applyNumberFormat="1" applyFont="1" applyBorder="1" applyProtection="1">
      <protection locked="0"/>
    </xf>
    <xf numFmtId="3" fontId="3" fillId="0" borderId="0" xfId="0" applyNumberFormat="1" applyFont="1" applyBorder="1" applyProtection="1">
      <protection locked="0"/>
    </xf>
    <xf numFmtId="0" fontId="4" fillId="0" borderId="0" xfId="0" applyFont="1" applyBorder="1" applyProtection="1">
      <protection locked="0"/>
    </xf>
    <xf numFmtId="0" fontId="9" fillId="0" borderId="0" xfId="0" applyFont="1" applyProtection="1">
      <protection locked="0"/>
    </xf>
    <xf numFmtId="0" fontId="4" fillId="0" borderId="0" xfId="0" applyFont="1" applyProtection="1">
      <protection locked="0"/>
    </xf>
    <xf numFmtId="165" fontId="12" fillId="0" borderId="0" xfId="1" applyNumberFormat="1" applyFont="1" applyProtection="1">
      <protection locked="0"/>
    </xf>
    <xf numFmtId="9" fontId="5" fillId="0" borderId="0" xfId="1" applyFont="1" applyBorder="1" applyProtection="1">
      <protection locked="0"/>
    </xf>
    <xf numFmtId="1" fontId="5" fillId="0" borderId="0" xfId="0" applyNumberFormat="1" applyFont="1" applyBorder="1" applyProtection="1">
      <protection locked="0"/>
    </xf>
    <xf numFmtId="3" fontId="12" fillId="0" borderId="0" xfId="0" applyNumberFormat="1" applyFont="1" applyBorder="1" applyProtection="1">
      <protection locked="0"/>
    </xf>
    <xf numFmtId="4" fontId="12" fillId="0" borderId="0" xfId="0" applyNumberFormat="1" applyFont="1" applyProtection="1">
      <protection locked="0"/>
    </xf>
    <xf numFmtId="164" fontId="12" fillId="0" borderId="0" xfId="0" applyNumberFormat="1" applyFont="1" applyProtection="1">
      <protection locked="0"/>
    </xf>
    <xf numFmtId="2" fontId="12" fillId="0" borderId="0" xfId="0" applyNumberFormat="1" applyFont="1" applyProtection="1">
      <protection locked="0"/>
    </xf>
    <xf numFmtId="3" fontId="12" fillId="0" borderId="0" xfId="0" applyNumberFormat="1" applyFont="1" applyFill="1" applyBorder="1" applyProtection="1">
      <protection locked="0"/>
    </xf>
    <xf numFmtId="0" fontId="12" fillId="0" borderId="0" xfId="0" applyFont="1" applyFill="1" applyBorder="1" applyProtection="1">
      <protection locked="0"/>
    </xf>
    <xf numFmtId="3" fontId="12" fillId="0" borderId="1" xfId="0" applyNumberFormat="1" applyFont="1" applyBorder="1" applyProtection="1">
      <protection locked="0"/>
    </xf>
    <xf numFmtId="9" fontId="12" fillId="0" borderId="1" xfId="1" applyFont="1" applyBorder="1" applyProtection="1">
      <protection locked="0"/>
    </xf>
    <xf numFmtId="0" fontId="0" fillId="0" borderId="0" xfId="0" applyFill="1" applyBorder="1" applyProtection="1">
      <protection locked="0"/>
    </xf>
    <xf numFmtId="0" fontId="0" fillId="0" borderId="1" xfId="0" applyBorder="1" applyProtection="1">
      <protection locked="0"/>
    </xf>
    <xf numFmtId="0" fontId="2" fillId="0" borderId="0" xfId="0" applyFont="1" applyBorder="1" applyProtection="1">
      <protection locked="0"/>
    </xf>
    <xf numFmtId="164" fontId="4" fillId="0" borderId="0" xfId="0" applyNumberFormat="1" applyFont="1" applyFill="1" applyBorder="1"/>
    <xf numFmtId="164" fontId="12" fillId="0" borderId="0" xfId="0" applyNumberFormat="1" applyFont="1" applyFill="1" applyBorder="1" applyProtection="1">
      <protection locked="0"/>
    </xf>
    <xf numFmtId="0" fontId="12" fillId="0" borderId="0" xfId="0" applyFont="1" applyBorder="1" applyProtection="1">
      <protection locked="0"/>
    </xf>
    <xf numFmtId="0" fontId="19" fillId="0" borderId="0" xfId="0" applyFont="1" applyBorder="1" applyProtection="1">
      <protection locked="0"/>
    </xf>
    <xf numFmtId="9" fontId="12" fillId="0" borderId="0" xfId="0" applyNumberFormat="1" applyFont="1" applyBorder="1" applyProtection="1">
      <protection locked="0"/>
    </xf>
    <xf numFmtId="1" fontId="2" fillId="0" borderId="0" xfId="0" applyNumberFormat="1" applyFont="1" applyProtection="1">
      <protection locked="0"/>
    </xf>
    <xf numFmtId="0" fontId="2" fillId="0" borderId="0" xfId="0" applyFont="1" applyProtection="1">
      <protection locked="0"/>
    </xf>
    <xf numFmtId="0" fontId="0" fillId="0" borderId="0" xfId="0" applyFont="1" applyBorder="1" applyProtection="1">
      <protection locked="0"/>
    </xf>
    <xf numFmtId="0" fontId="12" fillId="0" borderId="2" xfId="0" applyFont="1" applyBorder="1" applyProtection="1">
      <protection locked="0"/>
    </xf>
    <xf numFmtId="1" fontId="12" fillId="0" borderId="1" xfId="0" applyNumberFormat="1" applyFont="1" applyBorder="1" applyProtection="1">
      <protection locked="0"/>
    </xf>
    <xf numFmtId="1" fontId="2" fillId="0" borderId="0" xfId="0" applyNumberFormat="1" applyFont="1" applyProtection="1"/>
    <xf numFmtId="164" fontId="12" fillId="0" borderId="0" xfId="0" applyNumberFormat="1" applyFont="1" applyBorder="1" applyProtection="1">
      <protection locked="0"/>
    </xf>
    <xf numFmtId="2" fontId="19" fillId="0" borderId="0" xfId="0" applyNumberFormat="1" applyFont="1" applyBorder="1" applyProtection="1"/>
    <xf numFmtId="3" fontId="19" fillId="0" borderId="0" xfId="0" applyNumberFormat="1" applyFont="1" applyBorder="1" applyProtection="1"/>
    <xf numFmtId="1" fontId="19" fillId="0" borderId="0" xfId="0" applyNumberFormat="1" applyFont="1" applyBorder="1" applyProtection="1"/>
    <xf numFmtId="0" fontId="19" fillId="0" borderId="0" xfId="0" applyFont="1" applyBorder="1" applyProtection="1"/>
    <xf numFmtId="2" fontId="19" fillId="0" borderId="0" xfId="0" applyNumberFormat="1" applyFont="1" applyProtection="1"/>
    <xf numFmtId="3" fontId="19" fillId="0" borderId="0" xfId="0" applyNumberFormat="1" applyFont="1" applyProtection="1"/>
    <xf numFmtId="1" fontId="19" fillId="0" borderId="0" xfId="0" applyNumberFormat="1" applyFont="1" applyProtection="1"/>
    <xf numFmtId="3" fontId="2" fillId="0" borderId="0" xfId="0" applyNumberFormat="1" applyFont="1" applyProtection="1">
      <protection locked="0"/>
    </xf>
    <xf numFmtId="3" fontId="0" fillId="0" borderId="0" xfId="0" applyNumberFormat="1" applyProtection="1">
      <protection locked="0"/>
    </xf>
    <xf numFmtId="9" fontId="12" fillId="0" borderId="0" xfId="1" applyFont="1" applyProtection="1">
      <protection locked="0"/>
    </xf>
    <xf numFmtId="165" fontId="13" fillId="0" borderId="0" xfId="1" applyNumberFormat="1" applyFont="1" applyProtection="1">
      <protection locked="0"/>
    </xf>
    <xf numFmtId="0" fontId="19" fillId="0" borderId="0" xfId="0" applyFont="1" applyProtection="1">
      <protection locked="0"/>
    </xf>
    <xf numFmtId="2" fontId="0" fillId="0" borderId="1" xfId="0" applyNumberFormat="1" applyBorder="1"/>
    <xf numFmtId="2" fontId="12" fillId="0" borderId="1" xfId="0" applyNumberFormat="1" applyFont="1" applyBorder="1" applyProtection="1">
      <protection locked="0"/>
    </xf>
    <xf numFmtId="166" fontId="12" fillId="0" borderId="0" xfId="0" applyNumberFormat="1" applyFont="1"/>
    <xf numFmtId="0" fontId="18" fillId="0" borderId="0" xfId="0" applyFont="1" applyAlignment="1">
      <alignment horizontal="left"/>
    </xf>
    <xf numFmtId="9" fontId="0" fillId="0" borderId="0" xfId="1" applyFont="1"/>
    <xf numFmtId="0" fontId="0" fillId="0" borderId="0" xfId="0" applyAlignment="1">
      <alignment horizontal="left" indent="1"/>
    </xf>
    <xf numFmtId="3" fontId="0" fillId="0" borderId="0" xfId="0" applyNumberFormat="1" applyFont="1" applyBorder="1"/>
    <xf numFmtId="1" fontId="0" fillId="0" borderId="0" xfId="0" applyNumberFormat="1" applyFont="1" applyBorder="1"/>
    <xf numFmtId="9" fontId="12" fillId="0" borderId="0" xfId="1" applyNumberFormat="1" applyFont="1" applyProtection="1">
      <protection locked="0"/>
    </xf>
    <xf numFmtId="3" fontId="4" fillId="0" borderId="0" xfId="0" applyNumberFormat="1" applyFont="1" applyProtection="1">
      <protection locked="0"/>
    </xf>
    <xf numFmtId="0" fontId="21" fillId="2" borderId="1" xfId="0" applyFont="1" applyFill="1" applyBorder="1" applyAlignment="1">
      <alignment wrapText="1"/>
    </xf>
    <xf numFmtId="0" fontId="0" fillId="0" borderId="1" xfId="0" applyFill="1" applyBorder="1"/>
    <xf numFmtId="0" fontId="21" fillId="2" borderId="1" xfId="0" applyFont="1" applyFill="1" applyBorder="1"/>
    <xf numFmtId="0" fontId="2" fillId="2" borderId="1" xfId="0" applyFont="1" applyFill="1" applyBorder="1" applyAlignment="1">
      <alignment horizontal="center" wrapText="1"/>
    </xf>
    <xf numFmtId="2" fontId="2" fillId="0" borderId="0" xfId="0" applyNumberFormat="1" applyFont="1" applyAlignment="1">
      <alignment horizontal="center"/>
    </xf>
    <xf numFmtId="0" fontId="0" fillId="0" borderId="12" xfId="0" applyBorder="1"/>
    <xf numFmtId="0" fontId="0" fillId="0" borderId="13" xfId="0" applyBorder="1"/>
    <xf numFmtId="0" fontId="0" fillId="0" borderId="14" xfId="0" applyBorder="1"/>
    <xf numFmtId="3" fontId="12" fillId="0" borderId="0" xfId="0" applyNumberFormat="1" applyFont="1" applyAlignment="1" applyProtection="1">
      <alignment horizontal="center"/>
      <protection locked="0"/>
    </xf>
    <xf numFmtId="166" fontId="12" fillId="0" borderId="0" xfId="0" applyNumberFormat="1" applyFont="1" applyAlignment="1" applyProtection="1">
      <alignment horizontal="center"/>
      <protection locked="0"/>
    </xf>
    <xf numFmtId="9" fontId="12" fillId="0" borderId="0" xfId="1" applyFont="1" applyAlignment="1" applyProtection="1">
      <alignment horizontal="center"/>
      <protection locked="0"/>
    </xf>
    <xf numFmtId="0" fontId="2" fillId="2" borderId="6" xfId="0" applyFont="1" applyFill="1" applyBorder="1" applyAlignment="1">
      <alignment horizontal="center" wrapText="1"/>
    </xf>
    <xf numFmtId="3" fontId="12" fillId="0" borderId="8" xfId="0" applyNumberFormat="1" applyFont="1" applyBorder="1" applyAlignment="1" applyProtection="1">
      <alignment horizontal="center"/>
      <protection locked="0"/>
    </xf>
    <xf numFmtId="9" fontId="12" fillId="0" borderId="8" xfId="1" applyFont="1" applyBorder="1" applyAlignment="1" applyProtection="1">
      <alignment horizontal="center"/>
      <protection locked="0"/>
    </xf>
    <xf numFmtId="2" fontId="12" fillId="0" borderId="0" xfId="0" applyNumberFormat="1" applyFont="1" applyBorder="1" applyProtection="1">
      <protection locked="0"/>
    </xf>
    <xf numFmtId="0" fontId="4" fillId="0" borderId="0" xfId="0" applyFont="1" applyProtection="1"/>
    <xf numFmtId="3" fontId="4" fillId="0" borderId="0" xfId="0" applyNumberFormat="1" applyFont="1" applyProtection="1"/>
    <xf numFmtId="9" fontId="4" fillId="0" borderId="0" xfId="1" applyFont="1" applyProtection="1"/>
    <xf numFmtId="0" fontId="12" fillId="0" borderId="0" xfId="0" applyFont="1" applyAlignment="1" applyProtection="1">
      <alignment horizontal="center"/>
      <protection locked="0"/>
    </xf>
    <xf numFmtId="0" fontId="12" fillId="0" borderId="1" xfId="0" applyFont="1" applyBorder="1" applyAlignment="1" applyProtection="1">
      <alignment horizontal="center"/>
      <protection locked="0"/>
    </xf>
    <xf numFmtId="0" fontId="13" fillId="0" borderId="0" xfId="0" applyFont="1" applyAlignment="1" applyProtection="1">
      <alignment horizontal="center"/>
      <protection locked="0"/>
    </xf>
    <xf numFmtId="3" fontId="12" fillId="0" borderId="8" xfId="0" applyNumberFormat="1" applyFont="1" applyBorder="1" applyAlignment="1" applyProtection="1">
      <alignment horizontal="right"/>
      <protection locked="0"/>
    </xf>
    <xf numFmtId="3" fontId="14" fillId="0" borderId="0" xfId="0" applyNumberFormat="1" applyFont="1" applyAlignment="1" applyProtection="1">
      <alignment horizontal="center"/>
      <protection locked="0"/>
    </xf>
    <xf numFmtId="0" fontId="14" fillId="0" borderId="0" xfId="0" applyFont="1" applyAlignment="1">
      <alignment horizontal="right"/>
    </xf>
    <xf numFmtId="0" fontId="18" fillId="0" borderId="1" xfId="0" applyFont="1" applyFill="1" applyBorder="1"/>
    <xf numFmtId="3" fontId="26" fillId="0" borderId="1" xfId="0" applyNumberFormat="1" applyFont="1" applyFill="1" applyBorder="1" applyAlignment="1">
      <alignment horizontal="center" wrapText="1"/>
    </xf>
    <xf numFmtId="3" fontId="18" fillId="0" borderId="0" xfId="0" applyNumberFormat="1" applyFont="1" applyAlignment="1" applyProtection="1">
      <alignment horizontal="center"/>
      <protection locked="0"/>
    </xf>
    <xf numFmtId="9" fontId="19" fillId="0" borderId="0" xfId="0" applyNumberFormat="1" applyFont="1"/>
    <xf numFmtId="164" fontId="4" fillId="0" borderId="1" xfId="0" applyNumberFormat="1" applyFont="1" applyBorder="1"/>
    <xf numFmtId="3" fontId="0" fillId="0" borderId="1" xfId="0" applyNumberFormat="1" applyFont="1" applyBorder="1" applyAlignment="1">
      <alignment shrinkToFit="1"/>
    </xf>
    <xf numFmtId="3" fontId="3" fillId="0" borderId="0" xfId="0" applyNumberFormat="1" applyFont="1"/>
    <xf numFmtId="0" fontId="4" fillId="0" borderId="0" xfId="0" applyFont="1" applyAlignment="1">
      <alignment horizontal="right"/>
    </xf>
    <xf numFmtId="0" fontId="2" fillId="2" borderId="1" xfId="0" applyFont="1" applyFill="1" applyBorder="1" applyAlignment="1">
      <alignment horizontal="center"/>
    </xf>
    <xf numFmtId="0" fontId="0" fillId="2" borderId="7" xfId="0" applyFill="1" applyBorder="1"/>
    <xf numFmtId="0" fontId="0" fillId="2" borderId="2" xfId="0" applyFill="1" applyBorder="1"/>
    <xf numFmtId="0" fontId="2" fillId="2" borderId="7" xfId="0" applyFont="1" applyFill="1" applyBorder="1" applyAlignment="1">
      <alignment horizontal="center" wrapText="1"/>
    </xf>
    <xf numFmtId="0" fontId="0" fillId="2" borderId="4" xfId="0" applyFill="1" applyBorder="1"/>
    <xf numFmtId="0" fontId="2" fillId="2" borderId="6" xfId="0" applyFont="1" applyFill="1" applyBorder="1"/>
    <xf numFmtId="0" fontId="2" fillId="2" borderId="3" xfId="0" applyFont="1" applyFill="1" applyBorder="1" applyAlignment="1">
      <alignment horizontal="center" wrapText="1"/>
    </xf>
    <xf numFmtId="0" fontId="0" fillId="0" borderId="8" xfId="0" applyBorder="1" applyProtection="1">
      <protection locked="0"/>
    </xf>
    <xf numFmtId="3" fontId="12" fillId="0" borderId="0" xfId="0" applyNumberFormat="1" applyFont="1" applyBorder="1" applyAlignment="1" applyProtection="1">
      <alignment horizontal="center"/>
      <protection locked="0"/>
    </xf>
    <xf numFmtId="166" fontId="12" fillId="0" borderId="0" xfId="0" applyNumberFormat="1" applyFont="1" applyBorder="1" applyAlignment="1" applyProtection="1">
      <alignment horizontal="center"/>
      <protection locked="0"/>
    </xf>
    <xf numFmtId="3" fontId="4" fillId="0" borderId="0" xfId="0" applyNumberFormat="1" applyFont="1" applyBorder="1" applyProtection="1"/>
    <xf numFmtId="3" fontId="4" fillId="0" borderId="5" xfId="0" applyNumberFormat="1" applyFont="1" applyBorder="1" applyProtection="1"/>
    <xf numFmtId="0" fontId="0" fillId="0" borderId="6" xfId="0" applyBorder="1" applyProtection="1">
      <protection locked="0"/>
    </xf>
    <xf numFmtId="9" fontId="12" fillId="0" borderId="6" xfId="1" applyFont="1" applyBorder="1" applyAlignment="1" applyProtection="1">
      <alignment horizontal="center"/>
      <protection locked="0"/>
    </xf>
    <xf numFmtId="3" fontId="4" fillId="0" borderId="3" xfId="0" applyNumberFormat="1" applyFont="1" applyBorder="1" applyProtection="1"/>
    <xf numFmtId="14" fontId="0" fillId="0" borderId="2" xfId="0" applyNumberFormat="1" applyBorder="1" applyAlignment="1">
      <alignment horizontal="left"/>
    </xf>
    <xf numFmtId="0" fontId="2" fillId="2" borderId="7" xfId="0" applyFont="1" applyFill="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left"/>
    </xf>
    <xf numFmtId="3" fontId="0" fillId="0" borderId="0" xfId="0" applyNumberFormat="1" applyFont="1"/>
    <xf numFmtId="1" fontId="0" fillId="3" borderId="0" xfId="0" applyNumberFormat="1" applyFill="1"/>
    <xf numFmtId="3" fontId="14" fillId="3" borderId="0" xfId="0" applyNumberFormat="1" applyFont="1" applyFill="1"/>
    <xf numFmtId="3" fontId="2" fillId="3" borderId="0" xfId="0" applyNumberFormat="1" applyFont="1" applyFill="1"/>
    <xf numFmtId="0" fontId="13" fillId="0" borderId="0" xfId="0" applyFont="1" applyFill="1" applyProtection="1">
      <protection locked="0"/>
    </xf>
    <xf numFmtId="0" fontId="20" fillId="2" borderId="1" xfId="0" applyFont="1" applyFill="1" applyBorder="1"/>
    <xf numFmtId="0" fontId="0" fillId="3" borderId="0" xfId="0" applyFill="1"/>
    <xf numFmtId="3" fontId="0" fillId="3" borderId="0" xfId="0" applyNumberFormat="1" applyFill="1"/>
    <xf numFmtId="164" fontId="0" fillId="3" borderId="0" xfId="0" applyNumberFormat="1" applyFill="1"/>
    <xf numFmtId="1" fontId="4" fillId="0" borderId="0" xfId="0" applyNumberFormat="1" applyFont="1" applyBorder="1" applyProtection="1">
      <protection locked="0"/>
    </xf>
    <xf numFmtId="9" fontId="4" fillId="0" borderId="0" xfId="1" applyFont="1" applyBorder="1" applyProtection="1">
      <protection locked="0"/>
    </xf>
    <xf numFmtId="164" fontId="0" fillId="0" borderId="0" xfId="0" applyNumberFormat="1" applyBorder="1"/>
    <xf numFmtId="1" fontId="0" fillId="3" borderId="1" xfId="0" applyNumberFormat="1" applyFill="1" applyBorder="1"/>
    <xf numFmtId="3" fontId="12" fillId="4" borderId="8" xfId="0" applyNumberFormat="1" applyFont="1" applyFill="1" applyBorder="1" applyAlignment="1" applyProtection="1">
      <alignment horizontal="center"/>
      <protection locked="0"/>
    </xf>
    <xf numFmtId="3" fontId="12" fillId="4" borderId="0" xfId="0" applyNumberFormat="1" applyFont="1" applyFill="1" applyBorder="1" applyAlignment="1" applyProtection="1">
      <alignment horizontal="center"/>
      <protection locked="0"/>
    </xf>
    <xf numFmtId="166" fontId="12" fillId="4" borderId="0" xfId="0" applyNumberFormat="1" applyFont="1" applyFill="1" applyBorder="1" applyAlignment="1" applyProtection="1">
      <alignment horizontal="center"/>
      <protection locked="0"/>
    </xf>
    <xf numFmtId="3" fontId="12" fillId="4" borderId="6" xfId="0" applyNumberFormat="1" applyFont="1" applyFill="1" applyBorder="1" applyAlignment="1" applyProtection="1">
      <alignment horizontal="center"/>
      <protection locked="0"/>
    </xf>
    <xf numFmtId="3" fontId="12" fillId="4" borderId="1" xfId="0" applyNumberFormat="1" applyFont="1" applyFill="1" applyBorder="1" applyAlignment="1" applyProtection="1">
      <alignment horizontal="center"/>
      <protection locked="0"/>
    </xf>
    <xf numFmtId="166" fontId="12" fillId="4" borderId="1" xfId="0" applyNumberFormat="1" applyFont="1" applyFill="1" applyBorder="1" applyAlignment="1" applyProtection="1">
      <alignment horizontal="center"/>
      <protection locked="0"/>
    </xf>
    <xf numFmtId="3" fontId="12" fillId="4" borderId="8" xfId="0" applyNumberFormat="1" applyFont="1" applyFill="1" applyBorder="1" applyAlignment="1" applyProtection="1">
      <alignment horizontal="right"/>
      <protection locked="0"/>
    </xf>
    <xf numFmtId="3" fontId="12" fillId="4" borderId="6" xfId="0" applyNumberFormat="1" applyFont="1" applyFill="1" applyBorder="1" applyAlignment="1" applyProtection="1">
      <alignment horizontal="right"/>
      <protection locked="0"/>
    </xf>
    <xf numFmtId="1" fontId="4" fillId="0" borderId="0" xfId="0" applyNumberFormat="1" applyFont="1" applyProtection="1">
      <protection locked="0"/>
    </xf>
    <xf numFmtId="1" fontId="4" fillId="0" borderId="0" xfId="1" applyNumberFormat="1" applyFont="1" applyProtection="1">
      <protection locked="0"/>
    </xf>
    <xf numFmtId="164" fontId="19" fillId="0" borderId="0" xfId="0" applyNumberFormat="1" applyFont="1"/>
    <xf numFmtId="0" fontId="2" fillId="2" borderId="9" xfId="0" applyFont="1" applyFill="1" applyBorder="1" applyAlignment="1">
      <alignment horizontal="center"/>
    </xf>
    <xf numFmtId="0" fontId="2" fillId="2" borderId="10" xfId="0" applyFont="1" applyFill="1" applyBorder="1" applyAlignment="1">
      <alignment horizontal="center" wrapText="1"/>
    </xf>
    <xf numFmtId="3" fontId="12" fillId="0" borderId="11" xfId="0" applyNumberFormat="1" applyFont="1" applyBorder="1" applyAlignment="1" applyProtection="1">
      <alignment horizontal="center"/>
      <protection locked="0"/>
    </xf>
    <xf numFmtId="3" fontId="12" fillId="0" borderId="10" xfId="0" applyNumberFormat="1" applyFont="1" applyBorder="1" applyAlignment="1" applyProtection="1">
      <alignment horizontal="center"/>
      <protection locked="0"/>
    </xf>
    <xf numFmtId="0" fontId="0" fillId="2" borderId="9" xfId="0" applyFill="1" applyBorder="1"/>
    <xf numFmtId="4" fontId="29" fillId="0" borderId="11" xfId="0" applyNumberFormat="1" applyFont="1" applyBorder="1" applyAlignment="1" applyProtection="1">
      <alignment horizontal="center"/>
    </xf>
    <xf numFmtId="4" fontId="29" fillId="0" borderId="10" xfId="0" applyNumberFormat="1" applyFont="1" applyBorder="1" applyAlignment="1" applyProtection="1">
      <alignment horizontal="center"/>
    </xf>
    <xf numFmtId="0" fontId="0" fillId="0" borderId="16" xfId="0" applyBorder="1" applyProtection="1">
      <protection locked="0"/>
    </xf>
    <xf numFmtId="0" fontId="12" fillId="0" borderId="17" xfId="0" applyFont="1" applyBorder="1" applyProtection="1">
      <protection locked="0"/>
    </xf>
    <xf numFmtId="3" fontId="12" fillId="0" borderId="16" xfId="0" applyNumberFormat="1" applyFont="1" applyBorder="1" applyAlignment="1" applyProtection="1">
      <alignment horizontal="center"/>
      <protection locked="0"/>
    </xf>
    <xf numFmtId="3" fontId="12" fillId="0" borderId="17" xfId="0" applyNumberFormat="1" applyFont="1" applyBorder="1" applyAlignment="1" applyProtection="1">
      <alignment horizontal="center"/>
      <protection locked="0"/>
    </xf>
    <xf numFmtId="166" fontId="12" fillId="0" borderId="17" xfId="0" applyNumberFormat="1" applyFont="1" applyBorder="1" applyAlignment="1" applyProtection="1">
      <alignment horizontal="center"/>
      <protection locked="0"/>
    </xf>
    <xf numFmtId="3" fontId="12" fillId="0" borderId="16" xfId="0" applyNumberFormat="1" applyFont="1" applyBorder="1" applyAlignment="1" applyProtection="1">
      <alignment horizontal="right"/>
      <protection locked="0"/>
    </xf>
    <xf numFmtId="9" fontId="12" fillId="0" borderId="16" xfId="1" applyFont="1" applyBorder="1" applyAlignment="1" applyProtection="1">
      <alignment horizontal="center"/>
      <protection locked="0"/>
    </xf>
    <xf numFmtId="3" fontId="4" fillId="0" borderId="18" xfId="0" applyNumberFormat="1" applyFont="1" applyBorder="1" applyProtection="1"/>
    <xf numFmtId="3" fontId="12" fillId="0" borderId="15" xfId="0" applyNumberFormat="1" applyFont="1" applyBorder="1" applyAlignment="1" applyProtection="1">
      <alignment horizontal="center"/>
      <protection locked="0"/>
    </xf>
    <xf numFmtId="4" fontId="29" fillId="0" borderId="15" xfId="0" applyNumberFormat="1" applyFont="1" applyBorder="1" applyAlignment="1" applyProtection="1">
      <alignment horizontal="center"/>
    </xf>
    <xf numFmtId="3" fontId="12" fillId="4" borderId="16" xfId="0" applyNumberFormat="1" applyFont="1" applyFill="1" applyBorder="1" applyAlignment="1" applyProtection="1">
      <alignment horizontal="center"/>
      <protection locked="0"/>
    </xf>
    <xf numFmtId="3" fontId="12" fillId="4" borderId="17" xfId="0" applyNumberFormat="1" applyFont="1" applyFill="1" applyBorder="1" applyAlignment="1" applyProtection="1">
      <alignment horizontal="center"/>
      <protection locked="0"/>
    </xf>
    <xf numFmtId="166" fontId="12" fillId="4" borderId="17" xfId="0" applyNumberFormat="1" applyFont="1" applyFill="1" applyBorder="1" applyAlignment="1" applyProtection="1">
      <alignment horizontal="center"/>
      <protection locked="0"/>
    </xf>
    <xf numFmtId="3" fontId="4" fillId="0" borderId="17" xfId="0" applyNumberFormat="1" applyFont="1" applyBorder="1" applyProtection="1"/>
    <xf numFmtId="3" fontId="29" fillId="0" borderId="11" xfId="0" applyNumberFormat="1" applyFont="1" applyBorder="1" applyAlignment="1" applyProtection="1">
      <alignment horizontal="right" shrinkToFit="1"/>
    </xf>
    <xf numFmtId="3" fontId="29" fillId="0" borderId="15" xfId="0" applyNumberFormat="1" applyFont="1" applyBorder="1" applyAlignment="1" applyProtection="1">
      <alignment horizontal="right" shrinkToFit="1"/>
    </xf>
    <xf numFmtId="3" fontId="29" fillId="0" borderId="10" xfId="0" applyNumberFormat="1" applyFont="1" applyBorder="1" applyAlignment="1" applyProtection="1">
      <alignment horizontal="right" shrinkToFit="1"/>
    </xf>
    <xf numFmtId="0" fontId="30" fillId="2" borderId="10" xfId="0" applyFont="1" applyFill="1" applyBorder="1" applyAlignment="1">
      <alignment horizontal="center" wrapText="1"/>
    </xf>
    <xf numFmtId="3" fontId="31" fillId="4" borderId="8" xfId="0" applyNumberFormat="1" applyFont="1" applyFill="1" applyBorder="1" applyAlignment="1" applyProtection="1">
      <alignment horizontal="left"/>
      <protection locked="0"/>
    </xf>
    <xf numFmtId="3" fontId="3" fillId="3" borderId="3" xfId="0" applyNumberFormat="1" applyFont="1" applyFill="1" applyBorder="1" applyProtection="1"/>
    <xf numFmtId="0" fontId="3" fillId="2" borderId="6" xfId="0" applyFont="1" applyFill="1" applyBorder="1" applyProtection="1">
      <protection locked="0"/>
    </xf>
    <xf numFmtId="0" fontId="3" fillId="2" borderId="1" xfId="0" applyFont="1" applyFill="1" applyBorder="1" applyProtection="1">
      <protection locked="0"/>
    </xf>
    <xf numFmtId="3" fontId="3" fillId="2" borderId="6" xfId="0" applyNumberFormat="1" applyFont="1" applyFill="1" applyBorder="1" applyAlignment="1" applyProtection="1">
      <alignment horizontal="center"/>
      <protection locked="0"/>
    </xf>
    <xf numFmtId="3" fontId="3" fillId="2" borderId="1" xfId="0" applyNumberFormat="1" applyFont="1" applyFill="1" applyBorder="1" applyAlignment="1" applyProtection="1">
      <alignment horizontal="center"/>
      <protection locked="0"/>
    </xf>
    <xf numFmtId="166" fontId="3" fillId="2" borderId="1" xfId="0" applyNumberFormat="1" applyFont="1" applyFill="1" applyBorder="1" applyAlignment="1" applyProtection="1">
      <alignment horizontal="center"/>
      <protection locked="0"/>
    </xf>
    <xf numFmtId="3" fontId="3" fillId="2" borderId="6" xfId="0" applyNumberFormat="1" applyFont="1" applyFill="1" applyBorder="1" applyAlignment="1" applyProtection="1">
      <alignment horizontal="right"/>
      <protection locked="0"/>
    </xf>
    <xf numFmtId="3" fontId="3" fillId="2" borderId="1" xfId="0" applyNumberFormat="1" applyFont="1" applyFill="1" applyBorder="1" applyProtection="1">
      <protection locked="0"/>
    </xf>
    <xf numFmtId="9" fontId="3" fillId="2" borderId="6" xfId="1" applyFont="1" applyFill="1" applyBorder="1" applyAlignment="1" applyProtection="1">
      <alignment horizontal="center"/>
      <protection locked="0"/>
    </xf>
    <xf numFmtId="3" fontId="3" fillId="2" borderId="3" xfId="0" applyNumberFormat="1" applyFont="1" applyFill="1" applyBorder="1" applyProtection="1"/>
    <xf numFmtId="3" fontId="3" fillId="2" borderId="10" xfId="0" applyNumberFormat="1" applyFont="1" applyFill="1" applyBorder="1" applyAlignment="1" applyProtection="1">
      <alignment horizontal="center"/>
      <protection locked="0"/>
    </xf>
    <xf numFmtId="4" fontId="3" fillId="2" borderId="10" xfId="0" applyNumberFormat="1" applyFont="1" applyFill="1" applyBorder="1" applyAlignment="1" applyProtection="1">
      <alignment horizontal="center"/>
    </xf>
    <xf numFmtId="3" fontId="3" fillId="2" borderId="10" xfId="0" applyNumberFormat="1" applyFont="1" applyFill="1" applyBorder="1" applyAlignment="1" applyProtection="1">
      <alignment horizontal="right" shrinkToFit="1"/>
    </xf>
    <xf numFmtId="166" fontId="3" fillId="2" borderId="6" xfId="0" applyNumberFormat="1" applyFont="1" applyFill="1" applyBorder="1" applyAlignment="1" applyProtection="1">
      <alignment horizontal="right"/>
      <protection locked="0"/>
    </xf>
    <xf numFmtId="3" fontId="3" fillId="3" borderId="0" xfId="0" applyNumberFormat="1" applyFont="1" applyFill="1"/>
    <xf numFmtId="3" fontId="2" fillId="0" borderId="0" xfId="0" applyNumberFormat="1" applyFont="1" applyFill="1"/>
    <xf numFmtId="3" fontId="4" fillId="0" borderId="0" xfId="0" applyNumberFormat="1" applyFont="1" applyBorder="1" applyAlignment="1" applyProtection="1">
      <alignment shrinkToFit="1"/>
      <protection locked="0"/>
    </xf>
    <xf numFmtId="14" fontId="0" fillId="0" borderId="2" xfId="0" applyNumberFormat="1" applyBorder="1" applyAlignment="1">
      <alignment horizontal="right"/>
    </xf>
    <xf numFmtId="166" fontId="0" fillId="0" borderId="0" xfId="0" applyNumberFormat="1"/>
    <xf numFmtId="166" fontId="0" fillId="2" borderId="1" xfId="0" applyNumberFormat="1" applyFill="1" applyBorder="1"/>
    <xf numFmtId="9" fontId="29" fillId="0" borderId="0" xfId="1" applyFont="1"/>
    <xf numFmtId="14" fontId="0" fillId="0" borderId="0" xfId="0" applyNumberFormat="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center"/>
    </xf>
    <xf numFmtId="0" fontId="2" fillId="2" borderId="1" xfId="0" applyFont="1" applyFill="1" applyBorder="1" applyAlignment="1">
      <alignment horizontal="center"/>
    </xf>
    <xf numFmtId="0" fontId="3" fillId="2" borderId="1" xfId="0" applyFont="1" applyFill="1" applyBorder="1" applyAlignment="1">
      <alignment horizontal="center"/>
    </xf>
  </cellXfs>
  <cellStyles count="4">
    <cellStyle name="Hyperlinkki" xfId="2" builtinId="8"/>
    <cellStyle name="Normaali" xfId="0" builtinId="0"/>
    <cellStyle name="Normaali 2" xfId="3" xr:uid="{00000000-0005-0000-0000-000002000000}"/>
    <cellStyle name="Prosenttia" xfId="1" builtinId="5"/>
  </cellStyles>
  <dxfs count="6">
    <dxf>
      <font>
        <color rgb="FF9C0006"/>
      </font>
    </dxf>
    <dxf>
      <font>
        <color rgb="FF9C0006"/>
      </font>
    </dxf>
    <dxf>
      <font>
        <color rgb="FF9C0006"/>
      </font>
      <fill>
        <patternFill>
          <bgColor rgb="FFFFC7CE"/>
        </patternFill>
      </fill>
    </dxf>
    <dxf>
      <font>
        <color rgb="FF9C0006"/>
      </font>
    </dxf>
    <dxf>
      <font>
        <color rgb="FF9C0006"/>
      </font>
    </dxf>
    <dxf>
      <font>
        <color rgb="FF9C0006"/>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fi-FI"/>
              <a:t>Tuotantokustannuksen jakautuminen, €/ha</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9.3028433945756772E-2"/>
          <c:y val="0.17934492563429572"/>
          <c:w val="0.43060979877515315"/>
          <c:h val="0.7176829979585885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EAF-4DF8-AD89-AACF2FD641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EAF-4DF8-AD89-AACF2FD641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7CDC-4827-BFD6-CA7C3F93BB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EAF-4DF8-AD89-AACF2FD64104}"/>
              </c:ext>
            </c:extLst>
          </c:dPt>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mn-lt"/>
                    <a:ea typeface="+mn-ea"/>
                    <a:cs typeface="+mn-cs"/>
                  </a:defRPr>
                </a:pPr>
                <a:endParaRPr lang="fi-FI"/>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Yhteenveto!$B$17:$B$20</c:f>
              <c:strCache>
                <c:ptCount val="4"/>
                <c:pt idx="0">
                  <c:v>Muuttuvat viljelykustannukset</c:v>
                </c:pt>
                <c:pt idx="1">
                  <c:v>Työkustannus</c:v>
                </c:pt>
                <c:pt idx="2">
                  <c:v>Koneet + urakointi (ilman työtä)</c:v>
                </c:pt>
                <c:pt idx="3">
                  <c:v>Pelto ja rakennukset</c:v>
                </c:pt>
              </c:strCache>
            </c:strRef>
          </c:cat>
          <c:val>
            <c:numRef>
              <c:f>Yhteenveto!$C$17:$C$20</c:f>
              <c:numCache>
                <c:formatCode>0</c:formatCode>
                <c:ptCount val="4"/>
                <c:pt idx="0">
                  <c:v>367.96653376</c:v>
                </c:pt>
                <c:pt idx="1">
                  <c:v>219.36</c:v>
                </c:pt>
                <c:pt idx="2">
                  <c:v>606.40555555555557</c:v>
                </c:pt>
                <c:pt idx="3">
                  <c:v>342.8</c:v>
                </c:pt>
              </c:numCache>
            </c:numRef>
          </c:val>
          <c:extLst>
            <c:ext xmlns:c16="http://schemas.microsoft.com/office/drawing/2014/chart" uri="{C3380CC4-5D6E-409C-BE32-E72D297353CC}">
              <c16:uniqueId val="{00000000-7CDC-4827-BFD6-CA7C3F93BB7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58801771653543311"/>
          <c:y val="0.26442840478273549"/>
          <c:w val="0.33229790026246719"/>
          <c:h val="0.5781641878098570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22225" cap="flat" cmpd="sng" algn="ctr">
      <a:solidFill>
        <a:schemeClr val="bg1">
          <a:lumMod val="65000"/>
        </a:schemeClr>
      </a:solidFill>
      <a:round/>
    </a:ln>
    <a:effectLst/>
  </c:spPr>
  <c:txPr>
    <a:bodyPr/>
    <a:lstStyle/>
    <a:p>
      <a:pPr>
        <a:defRPr sz="1050" b="1"/>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fi-FI"/>
              <a:t>Tuotantokustannuksen jakautuminen, snt/kgka</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9.3028433945756772E-2"/>
          <c:y val="0.17934492563429572"/>
          <c:w val="0.43060979877515315"/>
          <c:h val="0.7176829979585885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A2-46B0-AE4B-992A2CD21A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A2-46B0-AE4B-992A2CD21A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A2-46B0-AE4B-992A2CD21A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A2-46B0-AE4B-992A2CD21A69}"/>
              </c:ext>
            </c:extLst>
          </c:dPt>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mn-lt"/>
                    <a:ea typeface="+mn-ea"/>
                    <a:cs typeface="+mn-cs"/>
                  </a:defRPr>
                </a:pPr>
                <a:endParaRPr lang="fi-FI"/>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Yhteenveto!$B$17:$B$20</c:f>
              <c:strCache>
                <c:ptCount val="4"/>
                <c:pt idx="0">
                  <c:v>Muuttuvat viljelykustannukset</c:v>
                </c:pt>
                <c:pt idx="1">
                  <c:v>Työkustannus</c:v>
                </c:pt>
                <c:pt idx="2">
                  <c:v>Koneet + urakointi (ilman työtä)</c:v>
                </c:pt>
                <c:pt idx="3">
                  <c:v>Pelto ja rakennukset</c:v>
                </c:pt>
              </c:strCache>
            </c:strRef>
          </c:cat>
          <c:val>
            <c:numRef>
              <c:f>Yhteenveto!$E$17:$E$20</c:f>
              <c:numCache>
                <c:formatCode>0.0</c:formatCode>
                <c:ptCount val="4"/>
                <c:pt idx="0">
                  <c:v>5.8743420432809161</c:v>
                </c:pt>
                <c:pt idx="1">
                  <c:v>3.5019371393556313</c:v>
                </c:pt>
                <c:pt idx="2">
                  <c:v>9.6808631314350144</c:v>
                </c:pt>
                <c:pt idx="3">
                  <c:v>5.4725749971330711</c:v>
                </c:pt>
              </c:numCache>
            </c:numRef>
          </c:val>
          <c:extLst>
            <c:ext xmlns:c16="http://schemas.microsoft.com/office/drawing/2014/chart" uri="{C3380CC4-5D6E-409C-BE32-E72D297353CC}">
              <c16:uniqueId val="{00000008-33A2-46B0-AE4B-992A2CD21A6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58801771653543311"/>
          <c:y val="0.26442840478273549"/>
          <c:w val="0.33229790026246719"/>
          <c:h val="0.5781641878098570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22225" cap="flat" cmpd="sng" algn="ctr">
      <a:solidFill>
        <a:schemeClr val="bg1">
          <a:lumMod val="65000"/>
        </a:schemeClr>
      </a:solidFill>
      <a:round/>
    </a:ln>
    <a:effectLst/>
  </c:spPr>
  <c:txPr>
    <a:bodyPr/>
    <a:lstStyle/>
    <a:p>
      <a:pPr>
        <a:defRPr sz="1050" b="1"/>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fi-FI"/>
              <a:t>Tuotantokustannus</a:t>
            </a:r>
            <a:r>
              <a:rPr lang="fi-FI" baseline="0"/>
              <a:t> yhteensä</a:t>
            </a:r>
            <a:r>
              <a:rPr lang="fi-FI"/>
              <a:t>, €/ha</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0.20877384076990377"/>
          <c:y val="0.17934492563429572"/>
          <c:w val="0.74500393700787404"/>
          <c:h val="0.71768299795858859"/>
        </c:manualLayout>
      </c:layout>
      <c:barChart>
        <c:barDir val="bar"/>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Yhteenveto!$B$21:$B$23</c:f>
              <c:strCache>
                <c:ptCount val="3"/>
                <c:pt idx="0">
                  <c:v>Tuotantokustannus yhteensä</c:v>
                </c:pt>
                <c:pt idx="1">
                  <c:v>Tuet</c:v>
                </c:pt>
                <c:pt idx="2">
                  <c:v>Tuotantokustannus - tuet</c:v>
                </c:pt>
              </c:strCache>
            </c:strRef>
          </c:cat>
          <c:val>
            <c:numRef>
              <c:f>Yhteenveto!$C$21:$C$23</c:f>
              <c:numCache>
                <c:formatCode>0</c:formatCode>
                <c:ptCount val="3"/>
                <c:pt idx="0">
                  <c:v>1536.5320893155556</c:v>
                </c:pt>
                <c:pt idx="1">
                  <c:v>382</c:v>
                </c:pt>
                <c:pt idx="2">
                  <c:v>1154.5320893155556</c:v>
                </c:pt>
              </c:numCache>
            </c:numRef>
          </c:val>
          <c:extLst>
            <c:ext xmlns:c16="http://schemas.microsoft.com/office/drawing/2014/chart" uri="{C3380CC4-5D6E-409C-BE32-E72D297353CC}">
              <c16:uniqueId val="{00000008-35C8-4671-B598-C6DD44D67355}"/>
            </c:ext>
          </c:extLst>
        </c:ser>
        <c:dLbls>
          <c:showLegendKey val="0"/>
          <c:showVal val="0"/>
          <c:showCatName val="0"/>
          <c:showSerName val="0"/>
          <c:showPercent val="0"/>
          <c:showBubbleSize val="0"/>
        </c:dLbls>
        <c:gapWidth val="60"/>
        <c:axId val="593174096"/>
        <c:axId val="593171472"/>
      </c:barChart>
      <c:valAx>
        <c:axId val="5931714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crossAx val="593174096"/>
        <c:crosses val="autoZero"/>
        <c:crossBetween val="between"/>
      </c:valAx>
      <c:catAx>
        <c:axId val="59317409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crossAx val="593171472"/>
        <c:crosses val="autoZero"/>
        <c:auto val="1"/>
        <c:lblAlgn val="ctr"/>
        <c:lblOffset val="100"/>
        <c:noMultiLvlLbl val="0"/>
      </c:catAx>
      <c:spPr>
        <a:noFill/>
        <a:ln>
          <a:noFill/>
        </a:ln>
        <a:effectLst/>
      </c:spPr>
    </c:plotArea>
    <c:plotVisOnly val="1"/>
    <c:dispBlanksAs val="gap"/>
    <c:showDLblsOverMax val="0"/>
  </c:chart>
  <c:spPr>
    <a:solidFill>
      <a:schemeClr val="bg1"/>
    </a:solidFill>
    <a:ln w="22225" cap="flat" cmpd="sng" algn="ctr">
      <a:solidFill>
        <a:schemeClr val="bg1">
          <a:lumMod val="65000"/>
        </a:schemeClr>
      </a:solidFill>
      <a:round/>
    </a:ln>
    <a:effectLst/>
  </c:spPr>
  <c:txPr>
    <a:bodyPr/>
    <a:lstStyle/>
    <a:p>
      <a:pPr>
        <a:defRPr sz="1050" b="1"/>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fi-FI"/>
              <a:t>Tuotantokustannus yhteensä, snt/kgka</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0.20877384076990377"/>
          <c:y val="0.17934492563429572"/>
          <c:w val="0.74500393700787404"/>
          <c:h val="0.71768299795858859"/>
        </c:manualLayout>
      </c:layout>
      <c:barChart>
        <c:barDir val="bar"/>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Yhteenveto!$B$21:$B$23</c:f>
              <c:strCache>
                <c:ptCount val="3"/>
                <c:pt idx="0">
                  <c:v>Tuotantokustannus yhteensä</c:v>
                </c:pt>
                <c:pt idx="1">
                  <c:v>Tuet</c:v>
                </c:pt>
                <c:pt idx="2">
                  <c:v>Tuotantokustannus - tuet</c:v>
                </c:pt>
              </c:strCache>
            </c:strRef>
          </c:cat>
          <c:val>
            <c:numRef>
              <c:f>Yhteenveto!$E$21:$E$23</c:f>
              <c:numCache>
                <c:formatCode>0.0</c:formatCode>
                <c:ptCount val="3"/>
                <c:pt idx="0">
                  <c:v>24.529717311204632</c:v>
                </c:pt>
                <c:pt idx="1">
                  <c:v>6.0983770388122318</c:v>
                </c:pt>
                <c:pt idx="2">
                  <c:v>18.431340272392401</c:v>
                </c:pt>
              </c:numCache>
            </c:numRef>
          </c:val>
          <c:extLst>
            <c:ext xmlns:c16="http://schemas.microsoft.com/office/drawing/2014/chart" uri="{C3380CC4-5D6E-409C-BE32-E72D297353CC}">
              <c16:uniqueId val="{00000000-17BC-45E6-BCB1-8CAFCD592FEC}"/>
            </c:ext>
          </c:extLst>
        </c:ser>
        <c:dLbls>
          <c:showLegendKey val="0"/>
          <c:showVal val="0"/>
          <c:showCatName val="0"/>
          <c:showSerName val="0"/>
          <c:showPercent val="0"/>
          <c:showBubbleSize val="0"/>
        </c:dLbls>
        <c:gapWidth val="60"/>
        <c:axId val="593174096"/>
        <c:axId val="593171472"/>
      </c:barChart>
      <c:valAx>
        <c:axId val="59317147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crossAx val="593174096"/>
        <c:crosses val="autoZero"/>
        <c:crossBetween val="between"/>
      </c:valAx>
      <c:catAx>
        <c:axId val="59317409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crossAx val="593171472"/>
        <c:crosses val="autoZero"/>
        <c:auto val="1"/>
        <c:lblAlgn val="ctr"/>
        <c:lblOffset val="100"/>
        <c:noMultiLvlLbl val="0"/>
      </c:catAx>
      <c:spPr>
        <a:noFill/>
        <a:ln>
          <a:noFill/>
        </a:ln>
        <a:effectLst/>
      </c:spPr>
    </c:plotArea>
    <c:plotVisOnly val="1"/>
    <c:dispBlanksAs val="gap"/>
    <c:showDLblsOverMax val="0"/>
  </c:chart>
  <c:spPr>
    <a:solidFill>
      <a:schemeClr val="bg1"/>
    </a:solidFill>
    <a:ln w="22225" cap="flat" cmpd="sng" algn="ctr">
      <a:solidFill>
        <a:schemeClr val="bg1">
          <a:lumMod val="65000"/>
        </a:schemeClr>
      </a:solidFill>
      <a:round/>
    </a:ln>
    <a:effectLst/>
  </c:spPr>
  <c:txPr>
    <a:bodyPr/>
    <a:lstStyle/>
    <a:p>
      <a:pPr>
        <a:defRPr sz="1050" b="1"/>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7.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9526</xdr:rowOff>
    </xdr:from>
    <xdr:to>
      <xdr:col>10</xdr:col>
      <xdr:colOff>579437</xdr:colOff>
      <xdr:row>48</xdr:row>
      <xdr:rowOff>31750</xdr:rowOff>
    </xdr:to>
    <xdr:sp macro="" textlink="">
      <xdr:nvSpPr>
        <xdr:cNvPr id="2" name="Tekstiruutu 1">
          <a:extLst>
            <a:ext uri="{FF2B5EF4-FFF2-40B4-BE49-F238E27FC236}">
              <a16:creationId xmlns:a16="http://schemas.microsoft.com/office/drawing/2014/main" id="{1AABDDDF-EFDD-4E92-82CD-70E84A76ED55}"/>
            </a:ext>
          </a:extLst>
        </xdr:cNvPr>
        <xdr:cNvSpPr txBox="1"/>
      </xdr:nvSpPr>
      <xdr:spPr>
        <a:xfrm>
          <a:off x="184150" y="796926"/>
          <a:ext cx="6142037" cy="812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ysClr val="windowText" lastClr="000000"/>
              </a:solidFill>
              <a:effectLst/>
              <a:latin typeface="+mn-lt"/>
              <a:ea typeface="+mn-ea"/>
              <a:cs typeface="+mn-cs"/>
            </a:rPr>
            <a:t>Tällä laskurilla voit laskea mille tahansa karkearehutyypille tuotantokustannuslaskelman. Syötä kysyttävät tiedot ja luvut sinisellä fontilla oleviin soluihin. Näihin soluihin kirjatut tiedot siirtyvät automaattisesti eteenpäin itse laskelmaan. Otsikointi ja mahdolliset lisähuomautukset laskentasolujen vieressä antavat sinulle ohjeet, mitä tietoja tarvitaan mihinkin kohtaan. Joissakin laskelman soluissa on yksityiskohtaisempia ohjeita, jotka saa näkyviin viemällä hiiren punaisten pikkukolmioiden päälle. Älä säikähdä, vaikka äkkiä saattaakin näyttää, että informaatiota ja täyteltävää on melkoisesti, laskelman tekeminen ei ole lainkaan vaikeaa! Laskelman eri osat on pilkottu omiksi osioikseen tekemisen sujuvoittamiseksi ja ajatusten rajaamiseksi yhteen teemaan kerrallaan. Muista pitää kahvitaukoja!</a:t>
          </a:r>
        </a:p>
        <a:p>
          <a:endParaRPr lang="fi-FI" sz="1100">
            <a:solidFill>
              <a:sysClr val="windowText" lastClr="000000"/>
            </a:solidFill>
            <a:effectLst/>
            <a:latin typeface="+mn-lt"/>
            <a:ea typeface="+mn-ea"/>
            <a:cs typeface="+mn-cs"/>
          </a:endParaRPr>
        </a:p>
        <a:p>
          <a:r>
            <a:rPr lang="fi-FI" sz="1100">
              <a:solidFill>
                <a:sysClr val="windowText" lastClr="000000"/>
              </a:solidFill>
              <a:effectLst/>
              <a:latin typeface="+mn-lt"/>
              <a:ea typeface="+mn-ea"/>
              <a:cs typeface="+mn-cs"/>
            </a:rPr>
            <a:t>Laskelman tekemisessä kannattaa edetä välilehtien numeroinnin mukaan: 1. Peltoja ja viljelyalaa koskevat tiedot, 2. Sadon määrä ja laatu, 3. Koneluettelo, 4. Urakointi, 5. Rakennukset, 6. Työmenekki, 7. Laskelma-välilehdelle täytetään muuttuvat kulut ja muut tarkennukset. Näiden lisäksi löydät taulukosta Yhteenveto-välilehden, johon on koottu keskeiset tiedot laskelman lopputuloksesta. Rehuntuotantoon sitoutuneesta pääomasta on lisäksi koonti omalla välilehdellään. Uutena ominaisuutena laskurista löytyy analyysi-välilehti, jossa voit tehdä tarkastelun rehun tuotantokustannuksen merkityksestä myytyä maitolitraa, eläintä tai lihakiloa kohden sinun tilallasi. Käytä hyväksesi tätä ominaisuutta ymmärtääksesi rehun tuotantokustannuksen merkityksen oman tilasi tuottavuuden ja talouden näkökulmasta!</a:t>
          </a:r>
        </a:p>
        <a:p>
          <a:endParaRPr lang="fi-FI" sz="1100">
            <a:solidFill>
              <a:sysClr val="windowText" lastClr="000000"/>
            </a:solidFill>
            <a:effectLst/>
            <a:latin typeface="+mn-lt"/>
            <a:ea typeface="+mn-ea"/>
            <a:cs typeface="+mn-cs"/>
          </a:endParaRPr>
        </a:p>
        <a:p>
          <a:r>
            <a:rPr lang="fi-FI" sz="1100">
              <a:solidFill>
                <a:sysClr val="windowText" lastClr="000000"/>
              </a:solidFill>
              <a:effectLst/>
              <a:latin typeface="+mn-lt"/>
              <a:ea typeface="+mn-ea"/>
              <a:cs typeface="+mn-cs"/>
            </a:rPr>
            <a:t>Taustalla näkyy laskuriin tehty esimerkkilaskelma, antamassa mallia pohjan täyttämiseen. Kirjoita omat tietosi esimerkkilukujen päälle ja katso ettei esimerkiksi kone- tai rakennukset välilehdelle jää esimerkkilaskusta ylimääräisiä tietoja omaan laskelmaasi. Tarpeettomiin riveihin lukuja voi nollata, niitä ei tarvitse poistaa. Nollaa hankintahinta ja jäännösarvo sarakkeiden luvut tarpeettomissa riveissä. Huomaa, että Excelin luonteen takia kone- ja rakennusvälilehdillä saattaa joskus tulla #JAKO/0! herja vastaan, jos kaikki luvut nollataan. Laskenta ei toimi oikein, jos näet tällaisia ”nollaa ei voi jakaa nollalla” huomautuksia. Jätä jokin luku käyttöaika yht. vuotta sarakkeeseen, tällöin pääset herjasta eroon. </a:t>
          </a:r>
        </a:p>
        <a:p>
          <a:endParaRPr lang="fi-FI" sz="1100">
            <a:solidFill>
              <a:sysClr val="windowText" lastClr="000000"/>
            </a:solidFill>
            <a:effectLst/>
            <a:latin typeface="+mn-lt"/>
            <a:ea typeface="+mn-ea"/>
            <a:cs typeface="+mn-cs"/>
          </a:endParaRPr>
        </a:p>
        <a:p>
          <a:r>
            <a:rPr lang="fi-FI" sz="1100">
              <a:solidFill>
                <a:sysClr val="windowText" lastClr="000000"/>
              </a:solidFill>
              <a:effectLst/>
              <a:latin typeface="+mn-lt"/>
              <a:ea typeface="+mn-ea"/>
              <a:cs typeface="+mn-cs"/>
            </a:rPr>
            <a:t>Laskelman kustannuksien jaottelu poikkeaa hieman perinteisestä, katelaskelmien tutusta muuttuvat – työ – kiinteät -jaottelusta. Kustannukset on jaoteltu niin, että koneista ja työstä aiheutuvat kustannukset on koottu yhteen nippuun. Tämä on tehty sen takia, että viljelytoimenpiteiden tekemisen kustannukset olisivat mahdollisimman vertailukelpoiset esim. omia koneita tai urakoitsijoita käyttävien tilojen kesken.</a:t>
          </a:r>
        </a:p>
        <a:p>
          <a:endParaRPr lang="fi-FI" sz="1100">
            <a:solidFill>
              <a:sysClr val="windowText" lastClr="000000"/>
            </a:solidFill>
            <a:effectLst/>
            <a:latin typeface="+mn-lt"/>
            <a:ea typeface="+mn-ea"/>
            <a:cs typeface="+mn-cs"/>
          </a:endParaRPr>
        </a:p>
        <a:p>
          <a:r>
            <a:rPr lang="fi-FI" sz="1100">
              <a:solidFill>
                <a:sysClr val="windowText" lastClr="000000"/>
              </a:solidFill>
              <a:effectLst/>
              <a:latin typeface="+mn-lt"/>
              <a:ea typeface="+mn-ea"/>
              <a:cs typeface="+mn-cs"/>
            </a:rPr>
            <a:t>Kun kaikki välilehdet on täytetty, laskelma on valmis. Tulokset esitetään Laskelma-välilehden viimeisenä osana usealla eri tavalla. Näet rehun hinnan energiayksikköä, hehtaaria, tai kuiva-ainekiloa kohden. Voit tehdä vaihtoehtoisen version laskelmasta sarakkeisiin Vaihtoehto B ja Vaihtoehto C. Tee itsellesi erilaisia versioita sinua kiinnostavien muuttujien vaikutuksesta oman tilasi säilörehun hintaan. Voit esim. simuloida kuinka satotason nostaminen vaikuttaa tuotantokustannukseen. Voit myös arvioida oman konekustannuksen ja suuruutta suhteessa siihen millä hinnalla urakoitsija hoitaisi viljelytoimenpiteet. Tallentamalla laskurista eri versioita voit myös laskea mitä koneketjujen muuttaminen vaikuttaisi tuotantokustannukseen. </a:t>
          </a:r>
        </a:p>
        <a:p>
          <a:endParaRPr lang="fi-FI" sz="1100">
            <a:solidFill>
              <a:sysClr val="windowText" lastClr="000000"/>
            </a:solidFill>
            <a:effectLst/>
            <a:latin typeface="+mn-lt"/>
            <a:ea typeface="+mn-ea"/>
            <a:cs typeface="+mn-cs"/>
          </a:endParaRPr>
        </a:p>
        <a:p>
          <a:r>
            <a:rPr lang="fi-FI" sz="1100">
              <a:solidFill>
                <a:sysClr val="windowText" lastClr="000000"/>
              </a:solidFill>
              <a:effectLst/>
              <a:latin typeface="+mn-lt"/>
              <a:ea typeface="+mn-ea"/>
              <a:cs typeface="+mn-cs"/>
            </a:rPr>
            <a:t>Yhteenveto välilehdellä näet kätevästi lukuina ja kuvaajina oman tuotantokustannuksesi rakenteen. Tältä sivulta löydät myös linkin, jonka kautta toivomme sinun lähettäväsi laskelman tiedot eteenpäin meille tilastoitavaksi. Tietoja käsitellään anonyymisti ja niitä käytetään parantamaan käsitystä kotimaisen rehuntuotannon kustannuksista ja kustannusrakenteesta avuksi tulevaisuuden kehitystoimille ja kotimaisen tuotannon hyväksi. Lähettämällä laskelmasi tiedot meille, saat paluusähköpostissa yhteenvedon jo tehtyjen laskelmien tuloksista ja tuhdin taloustietopaketin nurmentuotannosta.</a:t>
          </a:r>
        </a:p>
        <a:p>
          <a:endParaRPr lang="fi-FI" sz="1100">
            <a:solidFill>
              <a:sysClr val="windowText" lastClr="000000"/>
            </a:solidFill>
          </a:endParaRPr>
        </a:p>
        <a:p>
          <a:endParaRPr lang="fi-FI" sz="1100">
            <a:solidFill>
              <a:sysClr val="windowText" lastClr="000000"/>
            </a:solidFill>
          </a:endParaRPr>
        </a:p>
      </xdr:txBody>
    </xdr:sp>
    <xdr:clientData/>
  </xdr:twoCellAnchor>
  <xdr:twoCellAnchor editAs="oneCell">
    <xdr:from>
      <xdr:col>2</xdr:col>
      <xdr:colOff>368301</xdr:colOff>
      <xdr:row>49</xdr:row>
      <xdr:rowOff>52450</xdr:rowOff>
    </xdr:from>
    <xdr:to>
      <xdr:col>4</xdr:col>
      <xdr:colOff>6351</xdr:colOff>
      <xdr:row>52</xdr:row>
      <xdr:rowOff>168274</xdr:rowOff>
    </xdr:to>
    <xdr:pic>
      <xdr:nvPicPr>
        <xdr:cNvPr id="4" name="Kuva 3">
          <a:extLst>
            <a:ext uri="{FF2B5EF4-FFF2-40B4-BE49-F238E27FC236}">
              <a16:creationId xmlns:a16="http://schemas.microsoft.com/office/drawing/2014/main" id="{6012BE95-1429-4257-9937-769963E031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9126600"/>
          <a:ext cx="857250" cy="668274"/>
        </a:xfrm>
        <a:prstGeom prst="rect">
          <a:avLst/>
        </a:prstGeom>
      </xdr:spPr>
    </xdr:pic>
    <xdr:clientData/>
  </xdr:twoCellAnchor>
  <xdr:twoCellAnchor editAs="oneCell">
    <xdr:from>
      <xdr:col>8</xdr:col>
      <xdr:colOff>76200</xdr:colOff>
      <xdr:row>50</xdr:row>
      <xdr:rowOff>19931</xdr:rowOff>
    </xdr:from>
    <xdr:to>
      <xdr:col>10</xdr:col>
      <xdr:colOff>561975</xdr:colOff>
      <xdr:row>52</xdr:row>
      <xdr:rowOff>104545</xdr:rowOff>
    </xdr:to>
    <xdr:pic>
      <xdr:nvPicPr>
        <xdr:cNvPr id="6" name="Kuva 5">
          <a:extLst>
            <a:ext uri="{FF2B5EF4-FFF2-40B4-BE49-F238E27FC236}">
              <a16:creationId xmlns:a16="http://schemas.microsoft.com/office/drawing/2014/main" id="{0E8CD646-B996-4FD6-8616-99E747169E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91025" y="9640181"/>
          <a:ext cx="1666875" cy="465614"/>
        </a:xfrm>
        <a:prstGeom prst="rect">
          <a:avLst/>
        </a:prstGeom>
      </xdr:spPr>
    </xdr:pic>
    <xdr:clientData/>
  </xdr:twoCellAnchor>
  <xdr:twoCellAnchor editAs="oneCell">
    <xdr:from>
      <xdr:col>1</xdr:col>
      <xdr:colOff>9526</xdr:colOff>
      <xdr:row>48</xdr:row>
      <xdr:rowOff>134934</xdr:rowOff>
    </xdr:from>
    <xdr:to>
      <xdr:col>2</xdr:col>
      <xdr:colOff>421463</xdr:colOff>
      <xdr:row>52</xdr:row>
      <xdr:rowOff>166684</xdr:rowOff>
    </xdr:to>
    <xdr:pic>
      <xdr:nvPicPr>
        <xdr:cNvPr id="7" name="Kuva 6">
          <a:extLst>
            <a:ext uri="{FF2B5EF4-FFF2-40B4-BE49-F238E27FC236}">
              <a16:creationId xmlns:a16="http://schemas.microsoft.com/office/drawing/2014/main" id="{34C1DCCC-F584-4285-9EDE-923353408334}"/>
            </a:ext>
          </a:extLst>
        </xdr:cNvPr>
        <xdr:cNvPicPr>
          <a:picLocks noChangeAspect="1"/>
        </xdr:cNvPicPr>
      </xdr:nvPicPr>
      <xdr:blipFill rotWithShape="1">
        <a:blip xmlns:r="http://schemas.openxmlformats.org/officeDocument/2006/relationships" r:embed="rId3"/>
        <a:srcRect t="9690" b="6690"/>
        <a:stretch/>
      </xdr:blipFill>
      <xdr:spPr>
        <a:xfrm>
          <a:off x="192089" y="9326559"/>
          <a:ext cx="1078687" cy="793750"/>
        </a:xfrm>
        <a:prstGeom prst="rect">
          <a:avLst/>
        </a:prstGeom>
      </xdr:spPr>
    </xdr:pic>
    <xdr:clientData/>
  </xdr:twoCellAnchor>
  <xdr:twoCellAnchor editAs="oneCell">
    <xdr:from>
      <xdr:col>4</xdr:col>
      <xdr:colOff>76200</xdr:colOff>
      <xdr:row>50</xdr:row>
      <xdr:rowOff>76200</xdr:rowOff>
    </xdr:from>
    <xdr:to>
      <xdr:col>8</xdr:col>
      <xdr:colOff>0</xdr:colOff>
      <xdr:row>52</xdr:row>
      <xdr:rowOff>77978</xdr:rowOff>
    </xdr:to>
    <xdr:pic>
      <xdr:nvPicPr>
        <xdr:cNvPr id="8" name="Kuva 7">
          <a:extLst>
            <a:ext uri="{FF2B5EF4-FFF2-40B4-BE49-F238E27FC236}">
              <a16:creationId xmlns:a16="http://schemas.microsoft.com/office/drawing/2014/main" id="{31FF995D-26F1-48E7-82B3-3F03D272E50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65350" y="9334500"/>
          <a:ext cx="2362200" cy="370078"/>
        </a:xfrm>
        <a:prstGeom prst="rect">
          <a:avLst/>
        </a:prstGeom>
      </xdr:spPr>
    </xdr:pic>
    <xdr:clientData/>
  </xdr:twoCellAnchor>
  <xdr:twoCellAnchor>
    <xdr:from>
      <xdr:col>1</xdr:col>
      <xdr:colOff>6350</xdr:colOff>
      <xdr:row>57</xdr:row>
      <xdr:rowOff>12700</xdr:rowOff>
    </xdr:from>
    <xdr:to>
      <xdr:col>10</xdr:col>
      <xdr:colOff>585787</xdr:colOff>
      <xdr:row>101</xdr:row>
      <xdr:rowOff>34924</xdr:rowOff>
    </xdr:to>
    <xdr:sp macro="" textlink="">
      <xdr:nvSpPr>
        <xdr:cNvPr id="9" name="Tekstiruutu 8">
          <a:extLst>
            <a:ext uri="{FF2B5EF4-FFF2-40B4-BE49-F238E27FC236}">
              <a16:creationId xmlns:a16="http://schemas.microsoft.com/office/drawing/2014/main" id="{75977313-7B43-402C-A437-AC62134A65A9}"/>
            </a:ext>
          </a:extLst>
        </xdr:cNvPr>
        <xdr:cNvSpPr txBox="1"/>
      </xdr:nvSpPr>
      <xdr:spPr>
        <a:xfrm>
          <a:off x="190500" y="10560050"/>
          <a:ext cx="6142037" cy="812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solidFill>
                <a:sysClr val="windowText" lastClr="000000"/>
              </a:solidFill>
              <a:effectLst/>
              <a:latin typeface="+mn-lt"/>
              <a:ea typeface="+mn-ea"/>
              <a:cs typeface="+mn-cs"/>
            </a:rPr>
            <a:t>Laskelman käyttö</a:t>
          </a:r>
          <a:endParaRPr lang="fi-FI">
            <a:solidFill>
              <a:sysClr val="windowText" lastClr="000000"/>
            </a:solidFill>
            <a:effectLst/>
          </a:endParaRPr>
        </a:p>
        <a:p>
          <a:r>
            <a:rPr lang="fi-FI" sz="1100">
              <a:solidFill>
                <a:schemeClr val="dk1"/>
              </a:solidFill>
              <a:effectLst/>
              <a:latin typeface="+mn-lt"/>
              <a:ea typeface="+mn-ea"/>
              <a:cs typeface="+mn-cs"/>
            </a:rPr>
            <a:t>Säilörehun ja muiden karkearehujen hinnalla on valtaisa merkitys minkä tahansa nautakarjatilan kannattavuuteen, tuotantosuunnasta riippumatta. Merkitys tulee puhtaasti volyymistä. Koska säilörehua kuluu määrällisesti nautojen ruokinnassa paljon, sen hinnan suhteellisen pienikin muutos vaikuttaa lopputuotteiden tuottamisen kannattavuuteen merkittävästi. Tämän järkeilyn sanoittaminen ja ymmärtäminen on sinällään helppoa, mutta käytännön tilatasolla merkityksen hahmottaminen on haastavaa. Koska nurmirehujen hinta muodostuu useasta suorasta ja epäsuorasta tekijästä, niitä tuotetaan tilan sisäisesti eikä niistä liikutella konkreettista rahaa muiden kuin suorien panosten suhteen, kokonaisuuden hahmottaminen ilman ajatuksella tehtyä laskentaa on kenelle tahansa mahdotonta. Ostorehukustannus taas on huomattavasti yksikertaisempi aihe, vuosittaisen tarkan summan saa katsottua kirjapidosta koska vain. Osaatko kertoa paljonko rahaa sinun tilasi sitouttaa ja käyttää vuosittain säilörehuun? </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Selvittämällä oman tilan säilörehun tuotantokustannuksen ja vertailemalla tuotantokustannusta muiden tilojen tuotantokustannukseen, on mahdollista löytää uusia keinoja tilan kannattavuuden parantamiseksi. Säilörehun tuotantokustannuksen oleellisia osatekijöitä on hehtaarisato, konekustannus, tukikelpoisten peltojen osuus sekä peltojen hintataso. Konekustannukseen taas vaikuttaa suuresti koneiden käyttöaste.</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Tämä laskuri on tehty kaikkien aiheesta kiinnostuneiden vapaaseen käyttöön. Jos jaat tai muokkaat tätä edelleen, muistathan kertoa laskurin alkuperän. Toivottavasti mahdollisimman moni tuottaja inspiroituu selvittämään säilörehun tuotantokustannuksen joko itsenäisesti, yhdessä asiantuntija kanssa, tai parhaimmillaan pienryhmässä yhdessä muiden tuottajien kanssa.</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Tämän laskurin on luonut Tomi Karsikas Atrialta. Laskurin kehittämisessä ovat olleet mukana Atria Naudan, Valion ja Luonnonvarakeskuksen asiantuntijoita. ProAgria ja Työtehoseura ovat tarjonneet tukeaan työkalun kehityspolun varrella. Erityiset kiitokset Valion Ilkka Pohjamolle, Luonnonvarakeskuksen Olli Niskaselle ja (ent. Atria Naudan) Arja Mustoselle vinkeistä ja kommenteista laskurin kehittämisessä. Laskuria on kehitetty ja päivitetty Tuottava nautatilan nurmi-hankkeen toiminnan puitteissa.</a:t>
          </a:r>
        </a:p>
        <a:p>
          <a:r>
            <a:rPr lang="fi-FI" sz="1100">
              <a:solidFill>
                <a:sysClr val="windowText" lastClr="000000"/>
              </a:solidFill>
            </a:rPr>
            <a:t> </a:t>
          </a:r>
        </a:p>
        <a:p>
          <a:endParaRPr lang="fi-FI" sz="1100">
            <a:solidFill>
              <a:srgbClr val="FF0000"/>
            </a:solidFill>
          </a:endParaRPr>
        </a:p>
        <a:p>
          <a:endParaRPr lang="fi-FI" sz="1100">
            <a:solidFill>
              <a:srgbClr val="FF0000"/>
            </a:solidFill>
          </a:endParaRPr>
        </a:p>
      </xdr:txBody>
    </xdr:sp>
    <xdr:clientData/>
  </xdr:twoCellAnchor>
  <xdr:twoCellAnchor editAs="oneCell">
    <xdr:from>
      <xdr:col>2</xdr:col>
      <xdr:colOff>358775</xdr:colOff>
      <xdr:row>102</xdr:row>
      <xdr:rowOff>12766</xdr:rowOff>
    </xdr:from>
    <xdr:to>
      <xdr:col>3</xdr:col>
      <xdr:colOff>606425</xdr:colOff>
      <xdr:row>105</xdr:row>
      <xdr:rowOff>128590</xdr:rowOff>
    </xdr:to>
    <xdr:pic>
      <xdr:nvPicPr>
        <xdr:cNvPr id="10" name="Kuva 9">
          <a:extLst>
            <a:ext uri="{FF2B5EF4-FFF2-40B4-BE49-F238E27FC236}">
              <a16:creationId xmlns:a16="http://schemas.microsoft.com/office/drawing/2014/main" id="{27510736-B5CF-4416-AE69-896606E076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725" y="18891316"/>
          <a:ext cx="857250" cy="668274"/>
        </a:xfrm>
        <a:prstGeom prst="rect">
          <a:avLst/>
        </a:prstGeom>
      </xdr:spPr>
    </xdr:pic>
    <xdr:clientData/>
  </xdr:twoCellAnchor>
  <xdr:twoCellAnchor editAs="oneCell">
    <xdr:from>
      <xdr:col>8</xdr:col>
      <xdr:colOff>66674</xdr:colOff>
      <xdr:row>102</xdr:row>
      <xdr:rowOff>164397</xdr:rowOff>
    </xdr:from>
    <xdr:to>
      <xdr:col>10</xdr:col>
      <xdr:colOff>552449</xdr:colOff>
      <xdr:row>105</xdr:row>
      <xdr:rowOff>64861</xdr:rowOff>
    </xdr:to>
    <xdr:pic>
      <xdr:nvPicPr>
        <xdr:cNvPr id="11" name="Kuva 10">
          <a:extLst>
            <a:ext uri="{FF2B5EF4-FFF2-40B4-BE49-F238E27FC236}">
              <a16:creationId xmlns:a16="http://schemas.microsoft.com/office/drawing/2014/main" id="{287FAB7A-5FA3-4BF6-B176-F4B3E1995F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94224" y="19042947"/>
          <a:ext cx="1704975" cy="452914"/>
        </a:xfrm>
        <a:prstGeom prst="rect">
          <a:avLst/>
        </a:prstGeom>
      </xdr:spPr>
    </xdr:pic>
    <xdr:clientData/>
  </xdr:twoCellAnchor>
  <xdr:twoCellAnchor editAs="oneCell">
    <xdr:from>
      <xdr:col>1</xdr:col>
      <xdr:colOff>0</xdr:colOff>
      <xdr:row>101</xdr:row>
      <xdr:rowOff>95250</xdr:rowOff>
    </xdr:from>
    <xdr:to>
      <xdr:col>2</xdr:col>
      <xdr:colOff>411937</xdr:colOff>
      <xdr:row>105</xdr:row>
      <xdr:rowOff>127000</xdr:rowOff>
    </xdr:to>
    <xdr:pic>
      <xdr:nvPicPr>
        <xdr:cNvPr id="12" name="Kuva 11">
          <a:extLst>
            <a:ext uri="{FF2B5EF4-FFF2-40B4-BE49-F238E27FC236}">
              <a16:creationId xmlns:a16="http://schemas.microsoft.com/office/drawing/2014/main" id="{1D01652E-08B7-4EDA-B685-A6DAC34D51B9}"/>
            </a:ext>
          </a:extLst>
        </xdr:cNvPr>
        <xdr:cNvPicPr>
          <a:picLocks noChangeAspect="1"/>
        </xdr:cNvPicPr>
      </xdr:nvPicPr>
      <xdr:blipFill rotWithShape="1">
        <a:blip xmlns:r="http://schemas.openxmlformats.org/officeDocument/2006/relationships" r:embed="rId3"/>
        <a:srcRect t="9690" b="6690"/>
        <a:stretch/>
      </xdr:blipFill>
      <xdr:spPr>
        <a:xfrm>
          <a:off x="184150" y="18789650"/>
          <a:ext cx="1097737" cy="768350"/>
        </a:xfrm>
        <a:prstGeom prst="rect">
          <a:avLst/>
        </a:prstGeom>
      </xdr:spPr>
    </xdr:pic>
    <xdr:clientData/>
  </xdr:twoCellAnchor>
  <xdr:twoCellAnchor editAs="oneCell">
    <xdr:from>
      <xdr:col>4</xdr:col>
      <xdr:colOff>66674</xdr:colOff>
      <xdr:row>103</xdr:row>
      <xdr:rowOff>36516</xdr:rowOff>
    </xdr:from>
    <xdr:to>
      <xdr:col>7</xdr:col>
      <xdr:colOff>600074</xdr:colOff>
      <xdr:row>105</xdr:row>
      <xdr:rowOff>38294</xdr:rowOff>
    </xdr:to>
    <xdr:pic>
      <xdr:nvPicPr>
        <xdr:cNvPr id="13" name="Kuva 12">
          <a:extLst>
            <a:ext uri="{FF2B5EF4-FFF2-40B4-BE49-F238E27FC236}">
              <a16:creationId xmlns:a16="http://schemas.microsoft.com/office/drawing/2014/main" id="{6F28257A-0D3D-4AB0-866E-046F52C8BB0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55824" y="19099216"/>
          <a:ext cx="2362200" cy="3700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198438</xdr:colOff>
      <xdr:row>6</xdr:row>
      <xdr:rowOff>96838</xdr:rowOff>
    </xdr:from>
    <xdr:to>
      <xdr:col>14</xdr:col>
      <xdr:colOff>492125</xdr:colOff>
      <xdr:row>20</xdr:row>
      <xdr:rowOff>173038</xdr:rowOff>
    </xdr:to>
    <xdr:graphicFrame macro="">
      <xdr:nvGraphicFramePr>
        <xdr:cNvPr id="2" name="Kaavio 1">
          <a:extLst>
            <a:ext uri="{FF2B5EF4-FFF2-40B4-BE49-F238E27FC236}">
              <a16:creationId xmlns:a16="http://schemas.microsoft.com/office/drawing/2014/main" id="{BC4095B8-985B-44E4-B8BB-E465890791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579437</xdr:colOff>
      <xdr:row>6</xdr:row>
      <xdr:rowOff>103188</xdr:rowOff>
    </xdr:from>
    <xdr:to>
      <xdr:col>22</xdr:col>
      <xdr:colOff>261937</xdr:colOff>
      <xdr:row>20</xdr:row>
      <xdr:rowOff>179388</xdr:rowOff>
    </xdr:to>
    <xdr:graphicFrame macro="">
      <xdr:nvGraphicFramePr>
        <xdr:cNvPr id="3" name="Kaavio 2">
          <a:extLst>
            <a:ext uri="{FF2B5EF4-FFF2-40B4-BE49-F238E27FC236}">
              <a16:creationId xmlns:a16="http://schemas.microsoft.com/office/drawing/2014/main" id="{50E856CE-64F0-447B-AD62-D297536F4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198437</xdr:colOff>
      <xdr:row>21</xdr:row>
      <xdr:rowOff>85725</xdr:rowOff>
    </xdr:from>
    <xdr:to>
      <xdr:col>14</xdr:col>
      <xdr:colOff>492124</xdr:colOff>
      <xdr:row>35</xdr:row>
      <xdr:rowOff>154305</xdr:rowOff>
    </xdr:to>
    <xdr:graphicFrame macro="">
      <xdr:nvGraphicFramePr>
        <xdr:cNvPr id="4" name="Kaavio 3">
          <a:extLst>
            <a:ext uri="{FF2B5EF4-FFF2-40B4-BE49-F238E27FC236}">
              <a16:creationId xmlns:a16="http://schemas.microsoft.com/office/drawing/2014/main" id="{8E8BBC8B-E5C1-4157-8F76-3B81DDBCDA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595312</xdr:colOff>
      <xdr:row>21</xdr:row>
      <xdr:rowOff>85725</xdr:rowOff>
    </xdr:from>
    <xdr:to>
      <xdr:col>22</xdr:col>
      <xdr:colOff>277812</xdr:colOff>
      <xdr:row>35</xdr:row>
      <xdr:rowOff>154305</xdr:rowOff>
    </xdr:to>
    <xdr:graphicFrame macro="">
      <xdr:nvGraphicFramePr>
        <xdr:cNvPr id="5" name="Kaavio 4">
          <a:extLst>
            <a:ext uri="{FF2B5EF4-FFF2-40B4-BE49-F238E27FC236}">
              <a16:creationId xmlns:a16="http://schemas.microsoft.com/office/drawing/2014/main" id="{BFCBC466-A536-41A4-9851-6F89157B01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147638</xdr:colOff>
      <xdr:row>25</xdr:row>
      <xdr:rowOff>174625</xdr:rowOff>
    </xdr:from>
    <xdr:to>
      <xdr:col>4</xdr:col>
      <xdr:colOff>357186</xdr:colOff>
      <xdr:row>53</xdr:row>
      <xdr:rowOff>34374</xdr:rowOff>
    </xdr:to>
    <xdr:pic>
      <xdr:nvPicPr>
        <xdr:cNvPr id="2" name="Kuva 1">
          <a:extLst>
            <a:ext uri="{FF2B5EF4-FFF2-40B4-BE49-F238E27FC236}">
              <a16:creationId xmlns:a16="http://schemas.microsoft.com/office/drawing/2014/main" id="{DFF0BC77-668E-403F-8CF5-EF87577F3F9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7638" y="4746625"/>
          <a:ext cx="5186361" cy="5193749"/>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khr.maanmittauslaitos.fi/tilastopalvelu/rest/API/kiinteistokauppojen-tilastopalvelu.html?v=1.2.0&amp;" TargetMode="External"/><Relationship Id="rId1" Type="http://schemas.openxmlformats.org/officeDocument/2006/relationships/hyperlink" Target="http://statdb.luke.fi/PXWeb/pxweb/fi/LUKE/LUKE__02%20Maatalous__06%20Talous__03%20Pellon%20vuokrahinnat/01_Pellon_vuokrahinnat.px/table/tableViewLayout2/?rxid=b554b79c-92fc-4084-848e-f8dcc554103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tts.fi/tutkimus_kehitys/hankkeet/maataloushankkeet/koneurakointi/konetyon_kustannukset_ja_tilastolliset_urakointihinnat"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https://www.lyyti.fi/reg/tuotantokustannuskysel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tabColor theme="0" tint="-0.34998626667073579"/>
  </sheetPr>
  <dimension ref="B2:K130"/>
  <sheetViews>
    <sheetView tabSelected="1" zoomScale="120" zoomScaleNormal="120" workbookViewId="0">
      <selection activeCell="K136" sqref="K136"/>
    </sheetView>
  </sheetViews>
  <sheetFormatPr defaultRowHeight="14.4" x14ac:dyDescent="0.3"/>
  <cols>
    <col min="1" max="1" width="2.6640625" customWidth="1"/>
    <col min="2" max="2" width="10" customWidth="1"/>
    <col min="3" max="11" width="8.88671875" customWidth="1"/>
    <col min="12" max="12" width="2.6640625" customWidth="1"/>
  </cols>
  <sheetData>
    <row r="2" spans="2:10" x14ac:dyDescent="0.3">
      <c r="I2" s="331">
        <v>44469</v>
      </c>
      <c r="J2" s="331"/>
    </row>
    <row r="3" spans="2:10" ht="18" x14ac:dyDescent="0.35">
      <c r="B3" s="5" t="s">
        <v>483</v>
      </c>
    </row>
    <row r="4" spans="2:10" ht="15" customHeight="1" x14ac:dyDescent="0.35">
      <c r="B4" s="5"/>
    </row>
    <row r="15" spans="2:10" x14ac:dyDescent="0.3">
      <c r="B15" s="113"/>
    </row>
    <row r="56" spans="2:2" ht="18" x14ac:dyDescent="0.35">
      <c r="B56" s="5" t="s">
        <v>484</v>
      </c>
    </row>
    <row r="109" spans="2:11" x14ac:dyDescent="0.3">
      <c r="B109" s="3" t="s">
        <v>243</v>
      </c>
      <c r="C109" s="3"/>
      <c r="D109" s="3" t="s">
        <v>244</v>
      </c>
      <c r="E109" s="3"/>
      <c r="F109" s="3"/>
      <c r="G109" s="3"/>
      <c r="H109" s="3"/>
      <c r="I109" s="3"/>
      <c r="J109" s="3"/>
      <c r="K109" s="3"/>
    </row>
    <row r="110" spans="2:11" x14ac:dyDescent="0.3">
      <c r="B110" s="327">
        <v>43110</v>
      </c>
      <c r="C110" s="256"/>
      <c r="D110" t="s">
        <v>246</v>
      </c>
    </row>
    <row r="111" spans="2:11" x14ac:dyDescent="0.3">
      <c r="D111" t="s">
        <v>245</v>
      </c>
    </row>
    <row r="112" spans="2:11" x14ac:dyDescent="0.3">
      <c r="B112" s="144">
        <v>43138</v>
      </c>
      <c r="D112" t="s">
        <v>282</v>
      </c>
    </row>
    <row r="113" spans="2:4" x14ac:dyDescent="0.3">
      <c r="B113" s="144">
        <v>43216</v>
      </c>
      <c r="D113" t="s">
        <v>280</v>
      </c>
    </row>
    <row r="114" spans="2:4" x14ac:dyDescent="0.3">
      <c r="D114" t="s">
        <v>294</v>
      </c>
    </row>
    <row r="115" spans="2:4" x14ac:dyDescent="0.3">
      <c r="D115" t="s">
        <v>281</v>
      </c>
    </row>
    <row r="116" spans="2:4" x14ac:dyDescent="0.3">
      <c r="B116" s="144">
        <v>43676</v>
      </c>
      <c r="D116" t="s">
        <v>355</v>
      </c>
    </row>
    <row r="117" spans="2:4" x14ac:dyDescent="0.3">
      <c r="D117" t="s">
        <v>356</v>
      </c>
    </row>
    <row r="118" spans="2:4" x14ac:dyDescent="0.3">
      <c r="D118" t="s">
        <v>359</v>
      </c>
    </row>
    <row r="119" spans="2:4" x14ac:dyDescent="0.3">
      <c r="D119" s="16" t="s">
        <v>358</v>
      </c>
    </row>
    <row r="120" spans="2:4" x14ac:dyDescent="0.3">
      <c r="D120" t="s">
        <v>296</v>
      </c>
    </row>
    <row r="121" spans="2:4" x14ac:dyDescent="0.3">
      <c r="D121" t="s">
        <v>357</v>
      </c>
    </row>
    <row r="122" spans="2:4" x14ac:dyDescent="0.3">
      <c r="D122" t="s">
        <v>367</v>
      </c>
    </row>
    <row r="123" spans="2:4" x14ac:dyDescent="0.3">
      <c r="B123" s="144">
        <v>43773</v>
      </c>
      <c r="D123" t="s">
        <v>385</v>
      </c>
    </row>
    <row r="124" spans="2:4" x14ac:dyDescent="0.3">
      <c r="B124" s="144">
        <v>44042</v>
      </c>
      <c r="D124" t="s">
        <v>390</v>
      </c>
    </row>
    <row r="125" spans="2:4" x14ac:dyDescent="0.3">
      <c r="D125" t="s">
        <v>391</v>
      </c>
    </row>
    <row r="126" spans="2:4" x14ac:dyDescent="0.3">
      <c r="B126" s="144">
        <v>44469</v>
      </c>
      <c r="D126" t="s">
        <v>414</v>
      </c>
    </row>
    <row r="127" spans="2:4" x14ac:dyDescent="0.3">
      <c r="D127" t="s">
        <v>474</v>
      </c>
    </row>
    <row r="128" spans="2:4" x14ac:dyDescent="0.3">
      <c r="D128" t="s">
        <v>415</v>
      </c>
    </row>
    <row r="129" spans="4:4" x14ac:dyDescent="0.3">
      <c r="D129" t="s">
        <v>416</v>
      </c>
    </row>
    <row r="130" spans="4:4" x14ac:dyDescent="0.3">
      <c r="D130" t="s">
        <v>481</v>
      </c>
    </row>
  </sheetData>
  <mergeCells count="1">
    <mergeCell ref="I2:J2"/>
  </mergeCells>
  <pageMargins left="0.39370078740157483" right="0.39370078740157483" top="0.39370078740157483" bottom="0.39370078740157483" header="0.31496062992125984" footer="0.31496062992125984"/>
  <pageSetup paperSize="9" scale="99" orientation="portrait" r:id="rId1"/>
  <colBreaks count="1" manualBreakCount="1">
    <brk id="1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9">
    <tabColor rgb="FF7030A0"/>
  </sheetPr>
  <dimension ref="B1:N30"/>
  <sheetViews>
    <sheetView zoomScale="120" zoomScaleNormal="120" workbookViewId="0">
      <selection activeCell="C27" sqref="C27"/>
    </sheetView>
  </sheetViews>
  <sheetFormatPr defaultRowHeight="14.4" x14ac:dyDescent="0.3"/>
  <cols>
    <col min="1" max="1" width="2.6640625" customWidth="1"/>
    <col min="2" max="2" width="18.33203125" customWidth="1"/>
    <col min="3" max="3" width="8.5546875" customWidth="1"/>
  </cols>
  <sheetData>
    <row r="1" spans="2:14" ht="21" x14ac:dyDescent="0.4">
      <c r="B1" s="23" t="s">
        <v>318</v>
      </c>
    </row>
    <row r="2" spans="2:14" x14ac:dyDescent="0.3">
      <c r="J2" s="4"/>
    </row>
    <row r="3" spans="2:14" x14ac:dyDescent="0.3">
      <c r="B3" s="34" t="s">
        <v>30</v>
      </c>
      <c r="C3" s="34" t="s">
        <v>28</v>
      </c>
      <c r="D3" s="34" t="s">
        <v>24</v>
      </c>
      <c r="E3" s="34" t="s">
        <v>323</v>
      </c>
      <c r="F3" s="34" t="s">
        <v>58</v>
      </c>
    </row>
    <row r="4" spans="2:14" x14ac:dyDescent="0.3">
      <c r="B4" s="2" t="s">
        <v>330</v>
      </c>
      <c r="C4" s="2"/>
      <c r="D4" s="205">
        <f>'1. Pelto'!E8</f>
        <v>60</v>
      </c>
      <c r="E4" s="206">
        <f>'1. Pelto'!E14</f>
        <v>35</v>
      </c>
      <c r="F4" s="205">
        <f>D4+E4</f>
        <v>95</v>
      </c>
    </row>
    <row r="5" spans="2:14" x14ac:dyDescent="0.3">
      <c r="B5" t="s">
        <v>180</v>
      </c>
      <c r="C5" s="14">
        <f>'1. Pelto'!E20</f>
        <v>5250</v>
      </c>
      <c r="D5" s="8">
        <f>'1. Pelto'!E16</f>
        <v>16</v>
      </c>
      <c r="E5" s="8">
        <f>F5-D5</f>
        <v>14</v>
      </c>
      <c r="F5" s="8">
        <f>'1. Pelto'!E11</f>
        <v>30</v>
      </c>
      <c r="N5" s="203"/>
    </row>
    <row r="6" spans="2:14" x14ac:dyDescent="0.3">
      <c r="B6" s="204" t="s">
        <v>352</v>
      </c>
      <c r="C6" s="14">
        <f>'1. Pelto'!E36</f>
        <v>1657.5</v>
      </c>
      <c r="D6" s="8">
        <f>'1. Pelto'!E25</f>
        <v>16</v>
      </c>
      <c r="E6" s="8">
        <f>F6-D6</f>
        <v>14</v>
      </c>
      <c r="F6" s="8">
        <f>'1. Pelto'!E24</f>
        <v>30</v>
      </c>
    </row>
    <row r="7" spans="2:14" x14ac:dyDescent="0.3">
      <c r="G7" s="14"/>
    </row>
    <row r="8" spans="2:14" x14ac:dyDescent="0.3">
      <c r="B8" s="55" t="s">
        <v>360</v>
      </c>
      <c r="C8" s="69"/>
      <c r="D8" s="69"/>
      <c r="E8" s="69"/>
      <c r="G8" s="14"/>
    </row>
    <row r="9" spans="2:14" x14ac:dyDescent="0.3">
      <c r="B9" s="34" t="s">
        <v>329</v>
      </c>
      <c r="C9" s="34" t="s">
        <v>24</v>
      </c>
      <c r="D9" s="34" t="s">
        <v>323</v>
      </c>
      <c r="E9" s="34" t="s">
        <v>58</v>
      </c>
      <c r="G9" s="14"/>
    </row>
    <row r="10" spans="2:14" x14ac:dyDescent="0.3">
      <c r="B10" t="s">
        <v>319</v>
      </c>
      <c r="C10" s="14">
        <f>C5*D5</f>
        <v>84000</v>
      </c>
      <c r="D10" s="14">
        <f>C5*E5</f>
        <v>73500</v>
      </c>
      <c r="E10" s="14">
        <f>C5*F5</f>
        <v>157500</v>
      </c>
      <c r="G10" s="14"/>
    </row>
    <row r="11" spans="2:14" x14ac:dyDescent="0.3">
      <c r="B11" t="s">
        <v>321</v>
      </c>
      <c r="C11" s="14">
        <f>C6*D6</f>
        <v>26520</v>
      </c>
      <c r="D11" s="14">
        <f>C6*E6</f>
        <v>23205</v>
      </c>
      <c r="E11" s="14">
        <f>C6*F6</f>
        <v>49725</v>
      </c>
      <c r="F11" s="204"/>
      <c r="G11" s="14"/>
      <c r="N11" s="9"/>
    </row>
    <row r="12" spans="2:14" x14ac:dyDescent="0.3">
      <c r="B12" t="s">
        <v>320</v>
      </c>
      <c r="C12" s="14">
        <f>'3. Koneet'!AA4</f>
        <v>157601.66666666666</v>
      </c>
      <c r="D12" s="14">
        <f>'3. Koneet'!AB4</f>
        <v>109798.33333333333</v>
      </c>
      <c r="E12" s="14">
        <f>'3. Koneet'!Z4</f>
        <v>267400</v>
      </c>
      <c r="F12" s="204" t="s">
        <v>383</v>
      </c>
      <c r="G12" s="14"/>
      <c r="N12" s="9"/>
    </row>
    <row r="13" spans="2:14" x14ac:dyDescent="0.3">
      <c r="B13" t="s">
        <v>112</v>
      </c>
      <c r="C13" s="14">
        <f>'5. Rakennukset'!Q4</f>
        <v>132853.33333333334</v>
      </c>
      <c r="D13" s="14">
        <f>'5. Rakennukset'!R4</f>
        <v>78205</v>
      </c>
      <c r="E13" s="14">
        <f>'5. Rakennukset'!P4</f>
        <v>211058.33333333334</v>
      </c>
      <c r="F13" s="204"/>
      <c r="G13" s="14"/>
      <c r="N13" s="9"/>
    </row>
    <row r="14" spans="2:14" x14ac:dyDescent="0.3">
      <c r="B14" s="6" t="s">
        <v>322</v>
      </c>
      <c r="C14" s="19">
        <f>'7. Laskelma'!B29</f>
        <v>14089.76064</v>
      </c>
      <c r="D14" s="19"/>
      <c r="E14" s="19"/>
      <c r="F14" s="204" t="s">
        <v>354</v>
      </c>
    </row>
    <row r="15" spans="2:14" x14ac:dyDescent="0.3">
      <c r="B15" s="4" t="s">
        <v>58</v>
      </c>
      <c r="C15" s="39">
        <f>SUM(C10:C14)</f>
        <v>415064.76063999999</v>
      </c>
      <c r="D15" s="39">
        <f t="shared" ref="D15:E15" si="0">SUM(D10:D14)</f>
        <v>284708.33333333331</v>
      </c>
      <c r="E15" s="39">
        <f t="shared" si="0"/>
        <v>685683.33333333337</v>
      </c>
    </row>
    <row r="17" spans="2:7" x14ac:dyDescent="0.3">
      <c r="B17" s="55" t="s">
        <v>431</v>
      </c>
      <c r="C17" s="69"/>
      <c r="D17" s="69"/>
      <c r="E17" s="69"/>
    </row>
    <row r="18" spans="2:7" x14ac:dyDescent="0.3">
      <c r="B18" s="34" t="s">
        <v>329</v>
      </c>
      <c r="C18" s="34" t="s">
        <v>24</v>
      </c>
      <c r="D18" s="34" t="s">
        <v>323</v>
      </c>
      <c r="E18" s="34" t="s">
        <v>58</v>
      </c>
      <c r="G18" s="14"/>
    </row>
    <row r="19" spans="2:7" x14ac:dyDescent="0.3">
      <c r="B19" t="s">
        <v>319</v>
      </c>
      <c r="C19" s="14">
        <f>C10/D4</f>
        <v>1400</v>
      </c>
      <c r="D19" s="14">
        <f>D10/E4</f>
        <v>2100</v>
      </c>
      <c r="E19" s="14">
        <f>E10/F4</f>
        <v>1657.8947368421052</v>
      </c>
      <c r="G19" s="14"/>
    </row>
    <row r="20" spans="2:7" x14ac:dyDescent="0.3">
      <c r="B20" t="s">
        <v>321</v>
      </c>
      <c r="C20" s="14">
        <f>C11/D4</f>
        <v>442</v>
      </c>
      <c r="D20" s="14">
        <f>D11/E4</f>
        <v>663</v>
      </c>
      <c r="E20" s="14">
        <f>E11/F4</f>
        <v>523.42105263157896</v>
      </c>
      <c r="F20" s="204"/>
      <c r="G20" s="14"/>
    </row>
    <row r="21" spans="2:7" x14ac:dyDescent="0.3">
      <c r="B21" t="s">
        <v>320</v>
      </c>
      <c r="C21" s="14">
        <f>C12/D4</f>
        <v>2626.6944444444443</v>
      </c>
      <c r="D21" s="14">
        <f>D12/E4</f>
        <v>3137.0952380952381</v>
      </c>
      <c r="E21" s="14">
        <f>E12/F4</f>
        <v>2814.7368421052633</v>
      </c>
      <c r="F21" s="204" t="s">
        <v>383</v>
      </c>
      <c r="G21" s="14"/>
    </row>
    <row r="22" spans="2:7" x14ac:dyDescent="0.3">
      <c r="B22" t="s">
        <v>112</v>
      </c>
      <c r="C22" s="14">
        <f>C13/D4</f>
        <v>2214.2222222222222</v>
      </c>
      <c r="D22" s="14">
        <f>D13/E4</f>
        <v>2234.4285714285716</v>
      </c>
      <c r="E22" s="14">
        <f>E13/F4</f>
        <v>2221.666666666667</v>
      </c>
      <c r="F22" s="204"/>
      <c r="G22" s="14"/>
    </row>
    <row r="23" spans="2:7" x14ac:dyDescent="0.3">
      <c r="B23" s="6" t="s">
        <v>322</v>
      </c>
      <c r="C23" s="19">
        <f>C14/D4</f>
        <v>234.82934400000002</v>
      </c>
      <c r="D23" s="19">
        <f>D14/E4</f>
        <v>0</v>
      </c>
      <c r="E23" s="19">
        <f>E14/F4</f>
        <v>0</v>
      </c>
    </row>
    <row r="24" spans="2:7" x14ac:dyDescent="0.3">
      <c r="B24" s="4" t="s">
        <v>58</v>
      </c>
      <c r="C24" s="39">
        <f>SUM(C19:C23)</f>
        <v>6917.7460106666658</v>
      </c>
      <c r="D24" s="39">
        <f t="shared" ref="D24:E24" si="1">SUM(D19:D23)</f>
        <v>8134.5238095238101</v>
      </c>
      <c r="E24" s="39">
        <f t="shared" si="1"/>
        <v>7217.7192982456145</v>
      </c>
    </row>
    <row r="26" spans="2:7" x14ac:dyDescent="0.3">
      <c r="B26" t="s">
        <v>179</v>
      </c>
      <c r="C26" s="72">
        <f>'7. Laskelma'!D7</f>
        <v>0.04</v>
      </c>
    </row>
    <row r="27" spans="2:7" x14ac:dyDescent="0.3">
      <c r="B27" s="266" t="s">
        <v>369</v>
      </c>
      <c r="C27" s="267">
        <f>C15*C26</f>
        <v>16602.590425599999</v>
      </c>
      <c r="D27" s="14">
        <f>D15*C26</f>
        <v>11388.333333333332</v>
      </c>
      <c r="E27" s="14">
        <f>E15*C26</f>
        <v>27427.333333333336</v>
      </c>
      <c r="F27" t="s">
        <v>405</v>
      </c>
    </row>
    <row r="28" spans="2:7" x14ac:dyDescent="0.3">
      <c r="B28" s="266" t="s">
        <v>406</v>
      </c>
      <c r="C28" s="261">
        <f>C27/'1. Pelto'!E8</f>
        <v>276.70984042666663</v>
      </c>
      <c r="F28" t="s">
        <v>28</v>
      </c>
    </row>
    <row r="29" spans="2:7" x14ac:dyDescent="0.3">
      <c r="B29" s="266" t="s">
        <v>445</v>
      </c>
      <c r="C29" s="268">
        <f>C28/'7. Laskelma'!H9*100</f>
        <v>4.4174893645847657</v>
      </c>
      <c r="F29" t="s">
        <v>413</v>
      </c>
    </row>
    <row r="30" spans="2:7" x14ac:dyDescent="0.3">
      <c r="B30" s="76" t="s">
        <v>407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DB89B-5DAD-4B91-A8E5-1C4F3118BBFD}">
  <sheetPr>
    <tabColor rgb="FF92D050"/>
  </sheetPr>
  <dimension ref="B1:E29"/>
  <sheetViews>
    <sheetView zoomScale="120" zoomScaleNormal="120" workbookViewId="0">
      <selection activeCell="G20" sqref="G20"/>
    </sheetView>
  </sheetViews>
  <sheetFormatPr defaultRowHeight="14.4" x14ac:dyDescent="0.3"/>
  <cols>
    <col min="1" max="1" width="2.77734375" customWidth="1"/>
    <col min="2" max="2" width="35" customWidth="1"/>
  </cols>
  <sheetData>
    <row r="1" spans="2:5" ht="18" x14ac:dyDescent="0.35">
      <c r="B1" s="5" t="s">
        <v>461</v>
      </c>
    </row>
    <row r="3" spans="2:5" x14ac:dyDescent="0.3">
      <c r="B3" t="s">
        <v>347</v>
      </c>
      <c r="C3" s="14">
        <f>'1. Pelto'!E8</f>
        <v>60</v>
      </c>
      <c r="D3" t="s">
        <v>84</v>
      </c>
    </row>
    <row r="4" spans="2:5" x14ac:dyDescent="0.3">
      <c r="B4" t="s">
        <v>462</v>
      </c>
      <c r="C4" s="14">
        <f>'2. Sadon määrä'!J22</f>
        <v>375837.7</v>
      </c>
      <c r="D4" t="s">
        <v>446</v>
      </c>
    </row>
    <row r="5" spans="2:5" x14ac:dyDescent="0.3">
      <c r="B5" t="s">
        <v>203</v>
      </c>
      <c r="C5" s="328">
        <f>'7. Laskelma'!C56</f>
        <v>18.431340272392401</v>
      </c>
      <c r="D5" t="s">
        <v>413</v>
      </c>
    </row>
    <row r="6" spans="2:5" x14ac:dyDescent="0.3">
      <c r="C6" s="328"/>
    </row>
    <row r="7" spans="2:5" x14ac:dyDescent="0.3">
      <c r="B7" s="34" t="s">
        <v>464</v>
      </c>
      <c r="C7" s="329"/>
      <c r="D7" s="36"/>
      <c r="E7" s="36"/>
    </row>
    <row r="8" spans="2:5" x14ac:dyDescent="0.3">
      <c r="B8" t="s">
        <v>447</v>
      </c>
      <c r="C8" s="153">
        <v>70</v>
      </c>
      <c r="D8" t="s">
        <v>448</v>
      </c>
      <c r="E8" t="s">
        <v>476</v>
      </c>
    </row>
    <row r="9" spans="2:5" x14ac:dyDescent="0.3">
      <c r="B9" t="s">
        <v>450</v>
      </c>
      <c r="C9" s="153">
        <v>13</v>
      </c>
      <c r="D9" t="s">
        <v>451</v>
      </c>
      <c r="E9" t="s">
        <v>475</v>
      </c>
    </row>
    <row r="10" spans="2:5" x14ac:dyDescent="0.3">
      <c r="B10" t="s">
        <v>452</v>
      </c>
      <c r="C10" s="14">
        <f>C4/C9*12</f>
        <v>346927.10769230773</v>
      </c>
      <c r="D10" t="s">
        <v>446</v>
      </c>
    </row>
    <row r="11" spans="2:5" x14ac:dyDescent="0.3">
      <c r="B11" t="s">
        <v>454</v>
      </c>
      <c r="C11" s="14">
        <f>C5*C10/100</f>
        <v>63943.315715938472</v>
      </c>
      <c r="D11" t="s">
        <v>2</v>
      </c>
    </row>
    <row r="12" spans="2:5" x14ac:dyDescent="0.3">
      <c r="B12" t="s">
        <v>453</v>
      </c>
      <c r="C12" s="14">
        <f>C10/C8</f>
        <v>4956.1015384615393</v>
      </c>
      <c r="D12" t="s">
        <v>446</v>
      </c>
      <c r="E12" t="s">
        <v>477</v>
      </c>
    </row>
    <row r="13" spans="2:5" x14ac:dyDescent="0.3">
      <c r="B13" t="s">
        <v>455</v>
      </c>
      <c r="C13" s="14">
        <f>C11/C8</f>
        <v>913.47593879912108</v>
      </c>
      <c r="D13" t="s">
        <v>2</v>
      </c>
    </row>
    <row r="15" spans="2:5" x14ac:dyDescent="0.3">
      <c r="B15" t="s">
        <v>456</v>
      </c>
      <c r="C15" s="149">
        <f>C8*9300</f>
        <v>651000</v>
      </c>
      <c r="D15" t="s">
        <v>457</v>
      </c>
    </row>
    <row r="16" spans="2:5" x14ac:dyDescent="0.3">
      <c r="B16" t="s">
        <v>458</v>
      </c>
      <c r="C16" s="9">
        <f>C11*100/C15</f>
        <v>9.8223219225711933</v>
      </c>
      <c r="D16" t="s">
        <v>459</v>
      </c>
    </row>
    <row r="18" spans="2:5" x14ac:dyDescent="0.3">
      <c r="B18" t="s">
        <v>449</v>
      </c>
      <c r="C18" s="153">
        <f>C8*0.7</f>
        <v>49</v>
      </c>
      <c r="D18" t="s">
        <v>448</v>
      </c>
    </row>
    <row r="19" spans="2:5" x14ac:dyDescent="0.3">
      <c r="B19" t="s">
        <v>473</v>
      </c>
      <c r="C19" s="14">
        <f>C11/C18</f>
        <v>1304.9656268558872</v>
      </c>
      <c r="D19" t="s">
        <v>460</v>
      </c>
    </row>
    <row r="20" spans="2:5" x14ac:dyDescent="0.3">
      <c r="C20" s="14"/>
    </row>
    <row r="22" spans="2:5" x14ac:dyDescent="0.3">
      <c r="B22" s="34" t="s">
        <v>465</v>
      </c>
      <c r="C22" s="34"/>
      <c r="D22" s="258" t="s">
        <v>413</v>
      </c>
      <c r="E22" s="258" t="s">
        <v>2</v>
      </c>
    </row>
    <row r="23" spans="2:5" x14ac:dyDescent="0.3">
      <c r="B23" t="s">
        <v>466</v>
      </c>
      <c r="C23" s="330">
        <v>0.98</v>
      </c>
      <c r="D23" s="9">
        <f>C$5/$C23</f>
        <v>18.807490073869797</v>
      </c>
      <c r="E23" s="14">
        <f>C$11/$C23-C$11</f>
        <v>1304.9656268558902</v>
      </c>
    </row>
    <row r="24" spans="2:5" x14ac:dyDescent="0.3">
      <c r="B24" t="s">
        <v>467</v>
      </c>
      <c r="C24" s="330">
        <v>0.95</v>
      </c>
      <c r="D24" s="9">
        <f t="shared" ref="D24:D29" si="0">C$5/$C24</f>
        <v>19.401410813044635</v>
      </c>
      <c r="E24" s="14">
        <f t="shared" ref="E24:E29" si="1">C$11/$C24-C$11</f>
        <v>3365.437669259918</v>
      </c>
    </row>
    <row r="25" spans="2:5" x14ac:dyDescent="0.3">
      <c r="B25" t="s">
        <v>468</v>
      </c>
      <c r="C25" s="330">
        <v>0.9</v>
      </c>
      <c r="D25" s="9">
        <f t="shared" si="0"/>
        <v>20.47926696932489</v>
      </c>
      <c r="E25" s="14">
        <f t="shared" si="1"/>
        <v>7104.8128573264985</v>
      </c>
    </row>
    <row r="26" spans="2:5" x14ac:dyDescent="0.3">
      <c r="B26" t="s">
        <v>469</v>
      </c>
      <c r="C26" s="330">
        <v>0.85</v>
      </c>
      <c r="D26" s="9">
        <f t="shared" si="0"/>
        <v>21.683929732226353</v>
      </c>
      <c r="E26" s="14">
        <f t="shared" si="1"/>
        <v>11284.114538106791</v>
      </c>
    </row>
    <row r="27" spans="2:5" x14ac:dyDescent="0.3">
      <c r="B27" t="s">
        <v>470</v>
      </c>
      <c r="C27" s="330">
        <v>0.8</v>
      </c>
      <c r="D27" s="9">
        <f t="shared" si="0"/>
        <v>23.039175340490498</v>
      </c>
      <c r="E27" s="14">
        <f t="shared" si="1"/>
        <v>15985.828928984614</v>
      </c>
    </row>
    <row r="28" spans="2:5" x14ac:dyDescent="0.3">
      <c r="B28" t="s">
        <v>471</v>
      </c>
      <c r="C28" s="330">
        <v>0.75</v>
      </c>
      <c r="D28" s="9">
        <f t="shared" si="0"/>
        <v>24.575120363189868</v>
      </c>
      <c r="E28" s="14">
        <f t="shared" si="1"/>
        <v>21314.438571979495</v>
      </c>
    </row>
    <row r="29" spans="2:5" x14ac:dyDescent="0.3">
      <c r="B29" t="s">
        <v>472</v>
      </c>
      <c r="C29" s="330">
        <v>0.7</v>
      </c>
      <c r="D29" s="9">
        <f t="shared" si="0"/>
        <v>26.330486103417716</v>
      </c>
      <c r="E29" s="14">
        <f t="shared" si="1"/>
        <v>27404.278163973635</v>
      </c>
    </row>
  </sheetData>
  <sheetProtection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10"/>
  <dimension ref="B2:I28"/>
  <sheetViews>
    <sheetView zoomScale="120" zoomScaleNormal="120" workbookViewId="0">
      <selection activeCell="G25" sqref="G25"/>
    </sheetView>
  </sheetViews>
  <sheetFormatPr defaultRowHeight="14.4" x14ac:dyDescent="0.3"/>
  <cols>
    <col min="1" max="1" width="2.5546875" customWidth="1"/>
    <col min="2" max="2" width="53.6640625" customWidth="1"/>
    <col min="16" max="16" width="10.6640625" bestFit="1" customWidth="1"/>
  </cols>
  <sheetData>
    <row r="2" spans="2:9" x14ac:dyDescent="0.3">
      <c r="B2" s="4" t="s">
        <v>76</v>
      </c>
    </row>
    <row r="4" spans="2:9" x14ac:dyDescent="0.3">
      <c r="B4" s="3" t="s">
        <v>78</v>
      </c>
      <c r="C4" s="22" t="s">
        <v>62</v>
      </c>
      <c r="D4" s="22" t="s">
        <v>63</v>
      </c>
      <c r="E4" s="22" t="s">
        <v>64</v>
      </c>
      <c r="F4" s="22" t="s">
        <v>65</v>
      </c>
      <c r="G4" s="22" t="s">
        <v>66</v>
      </c>
    </row>
    <row r="5" spans="2:9" x14ac:dyDescent="0.3">
      <c r="B5" t="s">
        <v>72</v>
      </c>
      <c r="C5" s="27">
        <v>121</v>
      </c>
      <c r="D5" s="27">
        <v>107</v>
      </c>
      <c r="E5" s="27">
        <v>107</v>
      </c>
      <c r="F5" s="27">
        <v>107</v>
      </c>
      <c r="G5" s="27">
        <v>107</v>
      </c>
      <c r="I5" s="32" t="s">
        <v>62</v>
      </c>
    </row>
    <row r="6" spans="2:9" x14ac:dyDescent="0.3">
      <c r="B6" t="s">
        <v>71</v>
      </c>
      <c r="C6" s="27">
        <v>75</v>
      </c>
      <c r="D6" s="27">
        <v>65</v>
      </c>
      <c r="E6" s="27">
        <v>65</v>
      </c>
      <c r="F6" s="27">
        <v>65</v>
      </c>
      <c r="G6" s="27">
        <v>65</v>
      </c>
      <c r="I6" s="32" t="s">
        <v>63</v>
      </c>
    </row>
    <row r="7" spans="2:9" x14ac:dyDescent="0.3">
      <c r="B7" t="s">
        <v>67</v>
      </c>
      <c r="C7" s="27">
        <v>217</v>
      </c>
      <c r="D7" s="27">
        <v>242</v>
      </c>
      <c r="E7" s="27">
        <v>242</v>
      </c>
      <c r="F7" s="27">
        <v>242</v>
      </c>
      <c r="G7" s="27">
        <v>242</v>
      </c>
      <c r="I7" s="32" t="s">
        <v>64</v>
      </c>
    </row>
    <row r="8" spans="2:9" x14ac:dyDescent="0.3">
      <c r="B8" t="s">
        <v>68</v>
      </c>
      <c r="C8" s="27">
        <v>60</v>
      </c>
      <c r="D8" s="27">
        <v>60</v>
      </c>
      <c r="E8" s="27">
        <v>60</v>
      </c>
      <c r="F8" s="27">
        <v>60</v>
      </c>
      <c r="G8" s="27">
        <v>60</v>
      </c>
      <c r="I8" s="32" t="s">
        <v>65</v>
      </c>
    </row>
    <row r="9" spans="2:9" x14ac:dyDescent="0.3">
      <c r="B9" t="s">
        <v>69</v>
      </c>
      <c r="C9" s="27"/>
      <c r="D9" s="27"/>
      <c r="E9" s="27">
        <v>10</v>
      </c>
      <c r="F9" s="27">
        <v>30</v>
      </c>
      <c r="G9" s="27">
        <v>50</v>
      </c>
      <c r="I9" s="32" t="s">
        <v>66</v>
      </c>
    </row>
    <row r="10" spans="2:9" x14ac:dyDescent="0.3">
      <c r="B10" t="s">
        <v>73</v>
      </c>
      <c r="C10" s="27">
        <v>54</v>
      </c>
      <c r="D10" s="27">
        <v>54</v>
      </c>
      <c r="E10" s="27">
        <v>54</v>
      </c>
      <c r="F10" s="27">
        <v>54</v>
      </c>
      <c r="G10" s="27">
        <v>54</v>
      </c>
    </row>
    <row r="11" spans="2:9" x14ac:dyDescent="0.3">
      <c r="B11" t="s">
        <v>263</v>
      </c>
      <c r="C11" s="27">
        <v>40</v>
      </c>
      <c r="D11" s="27">
        <v>40</v>
      </c>
      <c r="E11" s="27">
        <v>40</v>
      </c>
      <c r="F11" s="27">
        <v>40</v>
      </c>
      <c r="G11" s="27">
        <v>40</v>
      </c>
    </row>
    <row r="12" spans="2:9" x14ac:dyDescent="0.3">
      <c r="B12" t="s">
        <v>264</v>
      </c>
      <c r="C12" s="27">
        <v>54</v>
      </c>
      <c r="D12" s="27">
        <v>11</v>
      </c>
      <c r="E12" s="27">
        <v>11</v>
      </c>
      <c r="F12" s="27">
        <v>11</v>
      </c>
      <c r="G12" s="27">
        <v>11</v>
      </c>
    </row>
    <row r="13" spans="2:9" x14ac:dyDescent="0.3">
      <c r="B13" t="s">
        <v>265</v>
      </c>
      <c r="C13" s="27"/>
      <c r="D13" s="27"/>
      <c r="E13" s="27"/>
      <c r="F13" s="27"/>
      <c r="G13" s="27"/>
    </row>
    <row r="14" spans="2:9" x14ac:dyDescent="0.3">
      <c r="B14" t="s">
        <v>70</v>
      </c>
      <c r="C14" s="27">
        <v>50</v>
      </c>
      <c r="D14" s="27">
        <v>50</v>
      </c>
      <c r="E14" s="27">
        <v>50</v>
      </c>
      <c r="F14" s="27">
        <v>50</v>
      </c>
      <c r="G14" s="27">
        <v>50</v>
      </c>
    </row>
    <row r="15" spans="2:9" x14ac:dyDescent="0.3">
      <c r="B15" s="11" t="s">
        <v>74</v>
      </c>
      <c r="C15" s="30"/>
      <c r="D15" s="30">
        <v>36</v>
      </c>
      <c r="E15" s="30">
        <v>36</v>
      </c>
      <c r="F15" s="30">
        <v>36</v>
      </c>
      <c r="G15" s="30">
        <v>36</v>
      </c>
    </row>
    <row r="16" spans="2:9" x14ac:dyDescent="0.3">
      <c r="B16" s="6" t="s">
        <v>75</v>
      </c>
      <c r="C16" s="29">
        <v>294</v>
      </c>
      <c r="D16" s="29">
        <v>294</v>
      </c>
      <c r="E16" s="29">
        <v>294</v>
      </c>
      <c r="F16" s="29">
        <v>294</v>
      </c>
      <c r="G16" s="29">
        <v>294</v>
      </c>
    </row>
    <row r="17" spans="2:7" x14ac:dyDescent="0.3">
      <c r="B17" s="4" t="s">
        <v>58</v>
      </c>
      <c r="C17" s="143">
        <f>SUM(C5:C16)</f>
        <v>965</v>
      </c>
      <c r="D17" s="143">
        <f>SUM(D5:D16)</f>
        <v>959</v>
      </c>
      <c r="E17" s="143">
        <f>SUM(E5:E16)</f>
        <v>969</v>
      </c>
      <c r="F17" s="143">
        <f>SUM(F5:F16)</f>
        <v>989</v>
      </c>
      <c r="G17" s="143">
        <f>SUM(G5:G16)</f>
        <v>1009</v>
      </c>
    </row>
    <row r="20" spans="2:7" x14ac:dyDescent="0.3">
      <c r="B20" s="3" t="s">
        <v>77</v>
      </c>
      <c r="C20" s="3" t="s">
        <v>128</v>
      </c>
      <c r="D20" s="3" t="s">
        <v>129</v>
      </c>
    </row>
    <row r="21" spans="2:7" x14ac:dyDescent="0.3">
      <c r="B21" s="28" t="s">
        <v>127</v>
      </c>
      <c r="C21" s="62">
        <v>40</v>
      </c>
      <c r="D21" s="62">
        <v>40</v>
      </c>
    </row>
    <row r="22" spans="2:7" x14ac:dyDescent="0.3">
      <c r="B22" s="28" t="s">
        <v>123</v>
      </c>
      <c r="C22" s="62">
        <v>4</v>
      </c>
      <c r="D22" s="62">
        <v>4</v>
      </c>
    </row>
    <row r="23" spans="2:7" x14ac:dyDescent="0.3">
      <c r="B23" s="28" t="s">
        <v>124</v>
      </c>
      <c r="C23" s="62">
        <v>9</v>
      </c>
      <c r="D23" s="62">
        <v>18</v>
      </c>
    </row>
    <row r="24" spans="2:7" x14ac:dyDescent="0.3">
      <c r="B24" s="28" t="s">
        <v>125</v>
      </c>
      <c r="C24" s="62">
        <v>11</v>
      </c>
      <c r="D24" s="62">
        <v>36</v>
      </c>
    </row>
    <row r="25" spans="2:7" x14ac:dyDescent="0.3">
      <c r="B25" s="28" t="s">
        <v>126</v>
      </c>
      <c r="C25" s="62">
        <v>11</v>
      </c>
      <c r="D25" s="62">
        <v>54</v>
      </c>
    </row>
    <row r="26" spans="2:7" x14ac:dyDescent="0.3">
      <c r="C26" s="31"/>
    </row>
    <row r="27" spans="2:7" x14ac:dyDescent="0.3">
      <c r="C27" s="31"/>
    </row>
    <row r="28" spans="2:7" x14ac:dyDescent="0.3">
      <c r="C28" s="31"/>
    </row>
  </sheetData>
  <printOptions gridLines="1"/>
  <pageMargins left="0.39370078740157483" right="0.39370078740157483"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tabColor rgb="FF0000FF"/>
  </sheetPr>
  <dimension ref="B1:T150"/>
  <sheetViews>
    <sheetView zoomScale="120" zoomScaleNormal="120" workbookViewId="0">
      <selection activeCell="G13" sqref="G13"/>
    </sheetView>
  </sheetViews>
  <sheetFormatPr defaultRowHeight="14.4" x14ac:dyDescent="0.3"/>
  <cols>
    <col min="1" max="1" width="3.44140625" customWidth="1"/>
    <col min="2" max="2" width="50.44140625" customWidth="1"/>
    <col min="3" max="3" width="11" bestFit="1" customWidth="1"/>
    <col min="5" max="5" width="11" bestFit="1" customWidth="1"/>
  </cols>
  <sheetData>
    <row r="1" spans="2:8" x14ac:dyDescent="0.3">
      <c r="B1" s="28" t="s">
        <v>253</v>
      </c>
    </row>
    <row r="2" spans="2:8" ht="21" x14ac:dyDescent="0.4">
      <c r="B2" s="23" t="s">
        <v>412</v>
      </c>
      <c r="H2" s="4" t="s">
        <v>251</v>
      </c>
    </row>
    <row r="3" spans="2:8" ht="18" x14ac:dyDescent="0.35">
      <c r="B3" s="5"/>
    </row>
    <row r="4" spans="2:8" x14ac:dyDescent="0.3">
      <c r="B4" s="33" t="s">
        <v>262</v>
      </c>
      <c r="C4" s="119"/>
      <c r="D4" s="119"/>
      <c r="E4" s="119"/>
      <c r="F4" s="33"/>
      <c r="G4" s="148"/>
      <c r="H4" s="4" t="s">
        <v>250</v>
      </c>
    </row>
    <row r="5" spans="2:8" x14ac:dyDescent="0.3">
      <c r="B5" t="s">
        <v>247</v>
      </c>
      <c r="E5" s="145" t="s">
        <v>24</v>
      </c>
      <c r="G5" s="148"/>
      <c r="H5" t="s">
        <v>194</v>
      </c>
    </row>
    <row r="6" spans="2:8" x14ac:dyDescent="0.3">
      <c r="B6" s="51" t="str">
        <f>CONCATENATE(E5,"n viljelyala omassa tukihakemuksessa olevilla pelloilla")</f>
        <v>Säilörehun viljelyala omassa tukihakemuksessa olevilla pelloilla</v>
      </c>
      <c r="C6" s="16"/>
      <c r="D6" s="114">
        <f>E6/E8</f>
        <v>0.66666666666666663</v>
      </c>
      <c r="E6" s="146">
        <v>40</v>
      </c>
      <c r="F6" s="16" t="s">
        <v>84</v>
      </c>
      <c r="G6" s="156"/>
      <c r="H6" t="s">
        <v>249</v>
      </c>
    </row>
    <row r="7" spans="2:8" x14ac:dyDescent="0.3">
      <c r="B7" s="115" t="s">
        <v>248</v>
      </c>
      <c r="C7" s="16"/>
      <c r="D7" s="114">
        <f>E7/E8</f>
        <v>0.33333333333333331</v>
      </c>
      <c r="E7" s="146">
        <v>20</v>
      </c>
      <c r="F7" s="16" t="s">
        <v>84</v>
      </c>
      <c r="G7" s="156"/>
      <c r="H7" s="73" t="s">
        <v>182</v>
      </c>
    </row>
    <row r="8" spans="2:8" x14ac:dyDescent="0.3">
      <c r="B8" s="116" t="str">
        <f>CONCATENATE(E5,"n viljelyala yhteensä")</f>
        <v>Säilörehun viljelyala yhteensä</v>
      </c>
      <c r="C8" s="117"/>
      <c r="D8" s="117"/>
      <c r="E8" s="118">
        <f>SUM(E6:E7)</f>
        <v>60</v>
      </c>
      <c r="F8" s="117" t="s">
        <v>84</v>
      </c>
      <c r="G8" s="157"/>
    </row>
    <row r="9" spans="2:8" x14ac:dyDescent="0.3">
      <c r="G9" s="148"/>
    </row>
    <row r="10" spans="2:8" x14ac:dyDescent="0.3">
      <c r="B10" s="33" t="s">
        <v>252</v>
      </c>
      <c r="C10" s="119"/>
      <c r="D10" s="119"/>
      <c r="E10" s="119"/>
      <c r="F10" s="33"/>
      <c r="G10" s="148"/>
      <c r="H10" s="4" t="s">
        <v>187</v>
      </c>
    </row>
    <row r="11" spans="2:8" x14ac:dyDescent="0.3">
      <c r="B11" s="11" t="s">
        <v>180</v>
      </c>
      <c r="C11" s="16"/>
      <c r="D11" s="120">
        <f>E11/E13</f>
        <v>0.4</v>
      </c>
      <c r="E11" s="147">
        <v>30</v>
      </c>
      <c r="F11" s="11" t="s">
        <v>84</v>
      </c>
      <c r="G11" s="158"/>
      <c r="H11" t="s">
        <v>254</v>
      </c>
    </row>
    <row r="12" spans="2:8" x14ac:dyDescent="0.3">
      <c r="B12" s="11" t="s">
        <v>181</v>
      </c>
      <c r="C12" s="16"/>
      <c r="D12" s="120">
        <f>E12/E13</f>
        <v>0.6</v>
      </c>
      <c r="E12" s="147">
        <v>45</v>
      </c>
      <c r="F12" s="11" t="s">
        <v>84</v>
      </c>
      <c r="G12" s="158"/>
      <c r="H12" t="s">
        <v>255</v>
      </c>
    </row>
    <row r="13" spans="2:8" x14ac:dyDescent="0.3">
      <c r="B13" s="1" t="s">
        <v>184</v>
      </c>
      <c r="C13" s="117"/>
      <c r="D13" s="117"/>
      <c r="E13" s="13">
        <f>E11+E12</f>
        <v>75</v>
      </c>
      <c r="F13" s="1" t="s">
        <v>84</v>
      </c>
      <c r="G13" s="154"/>
      <c r="H13" t="s">
        <v>256</v>
      </c>
    </row>
    <row r="14" spans="2:8" x14ac:dyDescent="0.3">
      <c r="B14" s="74" t="str">
        <f>CONCATENATE("Muuhun kuin ",E5,"n viljelyyn jää")</f>
        <v>Muuhun kuin Säilörehun viljelyyn jää</v>
      </c>
      <c r="C14" s="16"/>
      <c r="D14" s="16"/>
      <c r="E14" s="112">
        <f>E13-E6</f>
        <v>35</v>
      </c>
      <c r="F14" s="74" t="s">
        <v>84</v>
      </c>
      <c r="G14" s="148"/>
    </row>
    <row r="15" spans="2:8" x14ac:dyDescent="0.3">
      <c r="B15" s="74"/>
      <c r="C15" s="16"/>
      <c r="D15" s="16"/>
      <c r="E15" s="112"/>
      <c r="F15" s="74"/>
      <c r="G15" s="148"/>
    </row>
    <row r="16" spans="2:8" x14ac:dyDescent="0.3">
      <c r="B16" t="str">
        <f>CONCATENATE(E5,"n viljelyalasta omaa peltoa keskimäärin")</f>
        <v>Säilörehun viljelyalasta omaa peltoa keskimäärin</v>
      </c>
      <c r="D16" s="236">
        <f>D11</f>
        <v>0.4</v>
      </c>
      <c r="E16" s="8">
        <f>E6*D11</f>
        <v>16</v>
      </c>
      <c r="F16" s="11" t="s">
        <v>84</v>
      </c>
      <c r="G16" s="148"/>
    </row>
    <row r="17" spans="2:11" x14ac:dyDescent="0.3">
      <c r="B17" t="str">
        <f>CONCATENATE(E5,"n viljelyalasta vuokrapeltoa keskimäärin")</f>
        <v>Säilörehun viljelyalasta vuokrapeltoa keskimäärin</v>
      </c>
      <c r="D17" s="236">
        <f>D12</f>
        <v>0.6</v>
      </c>
      <c r="E17" s="8">
        <f>E6*D12</f>
        <v>24</v>
      </c>
      <c r="F17" s="11" t="s">
        <v>84</v>
      </c>
      <c r="G17" s="148"/>
    </row>
    <row r="18" spans="2:11" x14ac:dyDescent="0.3">
      <c r="E18" s="148"/>
      <c r="G18" s="148"/>
    </row>
    <row r="19" spans="2:11" x14ac:dyDescent="0.3">
      <c r="B19" t="s">
        <v>120</v>
      </c>
      <c r="E19" s="145" t="s">
        <v>149</v>
      </c>
      <c r="G19" s="148"/>
    </row>
    <row r="20" spans="2:11" x14ac:dyDescent="0.3">
      <c r="B20" t="s">
        <v>188</v>
      </c>
      <c r="C20" s="16"/>
      <c r="D20" s="16"/>
      <c r="E20" s="149">
        <f>VLOOKUP(E19,B76:F93,5,0)</f>
        <v>5250</v>
      </c>
      <c r="F20" t="s">
        <v>28</v>
      </c>
      <c r="G20" s="159"/>
      <c r="H20" t="s">
        <v>191</v>
      </c>
    </row>
    <row r="21" spans="2:11" x14ac:dyDescent="0.3">
      <c r="B21" t="s">
        <v>261</v>
      </c>
      <c r="C21" s="16"/>
      <c r="D21" s="16"/>
      <c r="E21" s="149">
        <f>VLOOKUP(E19,B76:J93,9,0)</f>
        <v>171</v>
      </c>
      <c r="F21" t="s">
        <v>28</v>
      </c>
      <c r="G21" s="159"/>
      <c r="H21" t="s">
        <v>189</v>
      </c>
    </row>
    <row r="22" spans="2:11" x14ac:dyDescent="0.3">
      <c r="E22" s="148"/>
      <c r="G22" s="148"/>
    </row>
    <row r="23" spans="2:11" x14ac:dyDescent="0.3">
      <c r="B23" s="33" t="s">
        <v>386</v>
      </c>
      <c r="C23" s="119"/>
      <c r="D23" s="119"/>
      <c r="E23" s="119"/>
      <c r="F23" s="33"/>
      <c r="G23" s="148"/>
    </row>
    <row r="24" spans="2:11" x14ac:dyDescent="0.3">
      <c r="B24" t="s">
        <v>353</v>
      </c>
      <c r="C24" s="16"/>
      <c r="D24" s="114">
        <f>E24/E13</f>
        <v>0.4</v>
      </c>
      <c r="E24" s="150">
        <f>E11</f>
        <v>30</v>
      </c>
      <c r="F24" t="s">
        <v>84</v>
      </c>
      <c r="G24" s="160"/>
      <c r="H24" t="s">
        <v>361</v>
      </c>
    </row>
    <row r="25" spans="2:11" x14ac:dyDescent="0.3">
      <c r="B25" t="str">
        <f>CONCATENATE(E5,"n viljelyalasta itse salaojitettua keskimäärin")</f>
        <v>Säilörehun viljelyalasta itse salaojitettua keskimäärin</v>
      </c>
      <c r="D25" s="114">
        <f>E25/E6</f>
        <v>0.4</v>
      </c>
      <c r="E25" s="8">
        <f>E6*D24</f>
        <v>16</v>
      </c>
      <c r="F25" t="s">
        <v>84</v>
      </c>
      <c r="G25" s="148"/>
      <c r="H25" t="s">
        <v>349</v>
      </c>
    </row>
    <row r="26" spans="2:11" x14ac:dyDescent="0.3">
      <c r="E26" s="8"/>
      <c r="G26" s="148"/>
    </row>
    <row r="27" spans="2:11" x14ac:dyDescent="0.3">
      <c r="B27" t="s">
        <v>324</v>
      </c>
      <c r="E27" s="149">
        <v>3000</v>
      </c>
      <c r="F27" t="s">
        <v>28</v>
      </c>
      <c r="G27" s="148"/>
      <c r="H27" s="148" t="s">
        <v>350</v>
      </c>
      <c r="I27" s="148"/>
      <c r="J27" s="148"/>
      <c r="K27" s="148"/>
    </row>
    <row r="28" spans="2:11" x14ac:dyDescent="0.3">
      <c r="B28" t="s">
        <v>325</v>
      </c>
      <c r="E28" s="207">
        <v>0.35</v>
      </c>
      <c r="G28" s="148"/>
      <c r="H28" s="148" t="s">
        <v>349</v>
      </c>
      <c r="I28" s="148"/>
      <c r="J28" s="148"/>
      <c r="K28" s="148"/>
    </row>
    <row r="29" spans="2:11" x14ac:dyDescent="0.3">
      <c r="B29" t="s">
        <v>370</v>
      </c>
      <c r="E29" s="149">
        <v>6</v>
      </c>
      <c r="F29" t="s">
        <v>328</v>
      </c>
      <c r="G29" s="148"/>
      <c r="H29" s="148"/>
      <c r="I29" s="148"/>
      <c r="J29" s="148"/>
      <c r="K29" s="148"/>
    </row>
    <row r="30" spans="2:11" x14ac:dyDescent="0.3">
      <c r="B30" t="s">
        <v>327</v>
      </c>
      <c r="E30" s="149">
        <v>40</v>
      </c>
      <c r="F30" t="s">
        <v>328</v>
      </c>
    </row>
    <row r="31" spans="2:11" x14ac:dyDescent="0.3">
      <c r="E31" s="149"/>
    </row>
    <row r="32" spans="2:11" x14ac:dyDescent="0.3">
      <c r="B32" t="s">
        <v>325</v>
      </c>
      <c r="E32">
        <f>E27*E28</f>
        <v>1050</v>
      </c>
      <c r="F32" t="s">
        <v>28</v>
      </c>
    </row>
    <row r="33" spans="2:8" x14ac:dyDescent="0.3">
      <c r="B33" t="s">
        <v>326</v>
      </c>
      <c r="E33" s="14">
        <f>E27-E32</f>
        <v>1950</v>
      </c>
      <c r="F33" t="s">
        <v>28</v>
      </c>
    </row>
    <row r="34" spans="2:8" x14ac:dyDescent="0.3">
      <c r="B34" t="s">
        <v>332</v>
      </c>
      <c r="E34" s="14">
        <f>E33*E24</f>
        <v>58500</v>
      </c>
      <c r="F34" t="s">
        <v>2</v>
      </c>
    </row>
    <row r="36" spans="2:8" x14ac:dyDescent="0.3">
      <c r="B36" t="s">
        <v>373</v>
      </c>
      <c r="E36" s="14">
        <f>IF(E24=0,0,E37/E24)</f>
        <v>1657.5</v>
      </c>
      <c r="F36" t="s">
        <v>28</v>
      </c>
    </row>
    <row r="37" spans="2:8" x14ac:dyDescent="0.3">
      <c r="B37" t="s">
        <v>373</v>
      </c>
      <c r="E37" s="14">
        <f>'5. Rakennukset'!P8</f>
        <v>49725</v>
      </c>
      <c r="F37" t="s">
        <v>2</v>
      </c>
    </row>
    <row r="38" spans="2:8" x14ac:dyDescent="0.3">
      <c r="G38" s="148"/>
    </row>
    <row r="39" spans="2:8" x14ac:dyDescent="0.3">
      <c r="B39" s="33" t="s">
        <v>183</v>
      </c>
      <c r="C39" s="119"/>
      <c r="D39" s="119"/>
      <c r="E39" s="119"/>
      <c r="F39" s="33"/>
      <c r="G39" s="148"/>
      <c r="H39" s="4" t="s">
        <v>190</v>
      </c>
    </row>
    <row r="40" spans="2:8" x14ac:dyDescent="0.3">
      <c r="B40" s="51" t="s">
        <v>59</v>
      </c>
      <c r="C40" s="26"/>
      <c r="D40" s="26"/>
      <c r="E40" s="151" t="s">
        <v>64</v>
      </c>
      <c r="G40" s="148"/>
      <c r="H40" t="s">
        <v>272</v>
      </c>
    </row>
    <row r="41" spans="2:8" x14ac:dyDescent="0.3">
      <c r="B41" t="s">
        <v>270</v>
      </c>
      <c r="E41">
        <f>E13</f>
        <v>75</v>
      </c>
      <c r="F41" t="s">
        <v>84</v>
      </c>
      <c r="G41" s="148"/>
      <c r="H41" t="s">
        <v>273</v>
      </c>
    </row>
    <row r="42" spans="2:8" x14ac:dyDescent="0.3">
      <c r="B42" s="51"/>
      <c r="C42" s="26"/>
      <c r="D42" s="26"/>
      <c r="E42" s="83"/>
      <c r="G42" s="148"/>
    </row>
    <row r="43" spans="2:8" x14ac:dyDescent="0.3">
      <c r="B43" s="3" t="s">
        <v>269</v>
      </c>
      <c r="C43" s="152" t="s">
        <v>28</v>
      </c>
      <c r="D43" s="152" t="s">
        <v>84</v>
      </c>
      <c r="E43" s="59" t="s">
        <v>2</v>
      </c>
      <c r="G43" s="148"/>
      <c r="H43" t="s">
        <v>271</v>
      </c>
    </row>
    <row r="44" spans="2:8" x14ac:dyDescent="0.3">
      <c r="B44" t="s">
        <v>72</v>
      </c>
      <c r="C44" s="148">
        <f>HLOOKUP(E40,Tuet!C4:G16,2,0)</f>
        <v>107</v>
      </c>
      <c r="D44" s="153">
        <f t="shared" ref="D44:D49" si="0">$E$41</f>
        <v>75</v>
      </c>
      <c r="E44" s="14">
        <f>C44*D44</f>
        <v>8025</v>
      </c>
      <c r="G44" s="148"/>
      <c r="H44" t="s">
        <v>387</v>
      </c>
    </row>
    <row r="45" spans="2:8" x14ac:dyDescent="0.3">
      <c r="B45" t="s">
        <v>71</v>
      </c>
      <c r="C45" s="148">
        <f>HLOOKUP(E40,Tuet!C4:G16,3,0)</f>
        <v>65</v>
      </c>
      <c r="D45" s="153">
        <f t="shared" si="0"/>
        <v>75</v>
      </c>
      <c r="E45" s="14">
        <f>C45*D45</f>
        <v>4875</v>
      </c>
      <c r="G45" s="148"/>
      <c r="H45" t="s">
        <v>274</v>
      </c>
    </row>
    <row r="46" spans="2:8" x14ac:dyDescent="0.3">
      <c r="B46" t="s">
        <v>67</v>
      </c>
      <c r="C46" s="148">
        <f>HLOOKUP(E40,Tuet!C4:G16,4,0)</f>
        <v>242</v>
      </c>
      <c r="D46" s="153">
        <f t="shared" si="0"/>
        <v>75</v>
      </c>
      <c r="E46" s="14">
        <f>C46*D46</f>
        <v>18150</v>
      </c>
      <c r="G46" s="148"/>
    </row>
    <row r="47" spans="2:8" x14ac:dyDescent="0.3">
      <c r="B47" t="s">
        <v>68</v>
      </c>
      <c r="C47" s="148">
        <f>HLOOKUP(E40,Tuet!C4:G16,5,0)</f>
        <v>60</v>
      </c>
      <c r="D47" s="153">
        <f t="shared" si="0"/>
        <v>75</v>
      </c>
      <c r="E47" s="14">
        <f>C47*D47</f>
        <v>4500</v>
      </c>
      <c r="G47" s="148"/>
      <c r="H47" t="s">
        <v>388</v>
      </c>
    </row>
    <row r="48" spans="2:8" x14ac:dyDescent="0.3">
      <c r="B48" t="s">
        <v>69</v>
      </c>
      <c r="C48" s="148">
        <f>HLOOKUP(E40,Tuet!C4:G16,6,0)</f>
        <v>10</v>
      </c>
      <c r="D48" s="153">
        <f t="shared" si="0"/>
        <v>75</v>
      </c>
      <c r="E48" s="14">
        <f t="shared" ref="E48:E55" si="1">C48*D48</f>
        <v>750</v>
      </c>
      <c r="G48" s="148"/>
      <c r="H48" t="s">
        <v>275</v>
      </c>
    </row>
    <row r="49" spans="2:8" x14ac:dyDescent="0.3">
      <c r="B49" t="s">
        <v>73</v>
      </c>
      <c r="C49" s="148">
        <f>HLOOKUP(E40,Tuet!C4:G16,7,0)</f>
        <v>54</v>
      </c>
      <c r="D49" s="153">
        <f t="shared" si="0"/>
        <v>75</v>
      </c>
      <c r="E49" s="14">
        <f t="shared" si="1"/>
        <v>4050</v>
      </c>
      <c r="G49" s="148"/>
      <c r="H49" t="s">
        <v>276</v>
      </c>
    </row>
    <row r="50" spans="2:8" x14ac:dyDescent="0.3">
      <c r="B50" t="s">
        <v>263</v>
      </c>
      <c r="C50" s="148">
        <f>HLOOKUP(E40,Tuet!C4:G16,8,0)</f>
        <v>40</v>
      </c>
      <c r="D50" s="153">
        <f>D49*0.6</f>
        <v>45</v>
      </c>
      <c r="E50" s="14">
        <f t="shared" si="1"/>
        <v>1800</v>
      </c>
      <c r="G50" s="148"/>
      <c r="H50" t="s">
        <v>277</v>
      </c>
    </row>
    <row r="51" spans="2:8" x14ac:dyDescent="0.3">
      <c r="B51" t="s">
        <v>264</v>
      </c>
      <c r="C51" s="153">
        <f>HLOOKUP(E40,Tuet!C4:G16,9,0)</f>
        <v>11</v>
      </c>
      <c r="D51" s="153">
        <f>$E$41</f>
        <v>75</v>
      </c>
      <c r="E51" s="14">
        <f t="shared" si="1"/>
        <v>825</v>
      </c>
      <c r="G51" s="148"/>
      <c r="H51" t="s">
        <v>278</v>
      </c>
    </row>
    <row r="52" spans="2:8" x14ac:dyDescent="0.3">
      <c r="B52" t="s">
        <v>265</v>
      </c>
      <c r="C52" s="153">
        <f>HLOOKUP(E40,Tuet!C4:G16,10,0)</f>
        <v>0</v>
      </c>
      <c r="D52" s="153">
        <f>$E$41</f>
        <v>75</v>
      </c>
      <c r="E52" s="14">
        <f t="shared" si="1"/>
        <v>0</v>
      </c>
      <c r="G52" s="148"/>
    </row>
    <row r="53" spans="2:8" x14ac:dyDescent="0.3">
      <c r="B53" t="s">
        <v>267</v>
      </c>
      <c r="C53" s="154">
        <f>HLOOKUP(E40,Tuet!C4:G16,11,0)</f>
        <v>50</v>
      </c>
      <c r="D53" s="153">
        <v>0</v>
      </c>
      <c r="E53" s="14">
        <f t="shared" si="1"/>
        <v>0</v>
      </c>
      <c r="G53" s="148"/>
    </row>
    <row r="54" spans="2:8" x14ac:dyDescent="0.3">
      <c r="B54" s="11" t="s">
        <v>266</v>
      </c>
      <c r="C54" s="148">
        <f>HLOOKUP(E40,Tuet!C4:G16,12,0)</f>
        <v>36</v>
      </c>
      <c r="D54" s="153">
        <v>0</v>
      </c>
      <c r="E54" s="14">
        <f t="shared" si="1"/>
        <v>0</v>
      </c>
      <c r="G54" s="148"/>
    </row>
    <row r="55" spans="2:8" x14ac:dyDescent="0.3">
      <c r="B55" s="6" t="s">
        <v>75</v>
      </c>
      <c r="C55" s="155">
        <f>HLOOKUP(E40,Tuet!C4:G16,13,0)</f>
        <v>294</v>
      </c>
      <c r="D55" s="155">
        <v>0</v>
      </c>
      <c r="E55" s="19">
        <f t="shared" si="1"/>
        <v>0</v>
      </c>
      <c r="G55" s="148"/>
    </row>
    <row r="56" spans="2:8" x14ac:dyDescent="0.3">
      <c r="B56" s="4" t="s">
        <v>268</v>
      </c>
      <c r="E56" s="142">
        <f>SUM(E44:E55)</f>
        <v>42975</v>
      </c>
      <c r="G56" s="148"/>
    </row>
    <row r="57" spans="2:8" x14ac:dyDescent="0.3">
      <c r="D57" s="148"/>
      <c r="E57" s="148"/>
      <c r="F57" s="148"/>
      <c r="G57" s="148"/>
    </row>
    <row r="58" spans="2:8" x14ac:dyDescent="0.3">
      <c r="B58" t="s">
        <v>185</v>
      </c>
      <c r="E58" s="149">
        <f>E56</f>
        <v>42975</v>
      </c>
      <c r="F58" t="s">
        <v>2</v>
      </c>
      <c r="G58" s="148"/>
    </row>
    <row r="59" spans="2:8" x14ac:dyDescent="0.3">
      <c r="B59" s="11" t="s">
        <v>186</v>
      </c>
      <c r="E59" s="12">
        <f>E58/E41</f>
        <v>573</v>
      </c>
      <c r="F59" s="11" t="s">
        <v>28</v>
      </c>
      <c r="G59" s="148"/>
    </row>
    <row r="60" spans="2:8" x14ac:dyDescent="0.3">
      <c r="B60" s="20" t="str">
        <f>CONCATENATE(E5,"n viljelyala omassa tukihakemuksessa olevilla pelloilla")</f>
        <v>Säilörehun viljelyala omassa tukihakemuksessa olevilla pelloilla</v>
      </c>
      <c r="E60" s="14">
        <f>E6</f>
        <v>40</v>
      </c>
      <c r="F60" s="11" t="s">
        <v>84</v>
      </c>
      <c r="G60" s="148"/>
    </row>
    <row r="61" spans="2:8" x14ac:dyDescent="0.3">
      <c r="B61" s="20" t="str">
        <f>CONCATENATE("Tuet ",E5,"n viljelyalalta")</f>
        <v>Tuet Säilörehun viljelyalalta</v>
      </c>
      <c r="E61" s="75">
        <f>E59*E60</f>
        <v>22920</v>
      </c>
      <c r="F61" s="61" t="s">
        <v>2</v>
      </c>
      <c r="G61" s="148"/>
    </row>
    <row r="62" spans="2:8" x14ac:dyDescent="0.3">
      <c r="B62" s="20" t="str">
        <f>CONCATENATE("Tuet ",E5,"hehtaaria kohden keskimäärin")</f>
        <v>Tuet Säilörehuhehtaaria kohden keskimäärin</v>
      </c>
      <c r="E62" s="12">
        <f>E61/E8</f>
        <v>382</v>
      </c>
      <c r="F62" s="11" t="s">
        <v>28</v>
      </c>
      <c r="G62" s="148"/>
    </row>
    <row r="63" spans="2:8" x14ac:dyDescent="0.3">
      <c r="D63" s="148"/>
      <c r="E63" s="148"/>
      <c r="F63" s="148"/>
      <c r="G63" s="148"/>
    </row>
    <row r="64" spans="2:8" x14ac:dyDescent="0.3">
      <c r="D64" s="148"/>
      <c r="E64" s="148"/>
      <c r="F64" s="148"/>
      <c r="G64" s="148"/>
    </row>
    <row r="65" spans="2:10" x14ac:dyDescent="0.3">
      <c r="D65" s="148"/>
      <c r="E65" s="148"/>
      <c r="F65" s="148"/>
    </row>
    <row r="73" spans="2:10" ht="18" x14ac:dyDescent="0.35">
      <c r="B73" s="71" t="s">
        <v>260</v>
      </c>
      <c r="C73" s="63"/>
      <c r="D73" s="63"/>
      <c r="E73" s="63"/>
      <c r="F73" s="63"/>
      <c r="G73" s="63"/>
      <c r="H73" s="63"/>
      <c r="I73" s="63"/>
      <c r="J73" s="63"/>
    </row>
    <row r="74" spans="2:10" x14ac:dyDescent="0.3">
      <c r="B74" s="121"/>
      <c r="C74" s="122"/>
      <c r="D74" s="122"/>
      <c r="E74" s="123" t="s">
        <v>259</v>
      </c>
      <c r="F74" s="122"/>
      <c r="G74" s="122"/>
      <c r="H74" s="124" t="s">
        <v>257</v>
      </c>
      <c r="I74" s="122"/>
      <c r="J74" s="125"/>
    </row>
    <row r="75" spans="2:10" x14ac:dyDescent="0.3">
      <c r="B75" s="126" t="s">
        <v>120</v>
      </c>
      <c r="C75" s="65" t="s">
        <v>154</v>
      </c>
      <c r="D75" s="65"/>
      <c r="E75" s="126" t="s">
        <v>28</v>
      </c>
      <c r="F75" s="65" t="s">
        <v>178</v>
      </c>
      <c r="G75" s="127"/>
      <c r="H75" s="128" t="s">
        <v>212</v>
      </c>
      <c r="I75" s="129" t="s">
        <v>213</v>
      </c>
      <c r="J75" s="130" t="s">
        <v>258</v>
      </c>
    </row>
    <row r="76" spans="2:10" x14ac:dyDescent="0.3">
      <c r="B76" s="131" t="s">
        <v>158</v>
      </c>
      <c r="C76" s="132" t="s">
        <v>142</v>
      </c>
      <c r="D76" s="132"/>
      <c r="E76" s="133">
        <v>5300</v>
      </c>
      <c r="F76" s="21">
        <v>3975</v>
      </c>
      <c r="G76" s="132"/>
      <c r="H76" s="134">
        <v>190</v>
      </c>
      <c r="I76" s="132">
        <v>180</v>
      </c>
      <c r="J76" s="135">
        <v>185</v>
      </c>
    </row>
    <row r="77" spans="2:10" x14ac:dyDescent="0.3">
      <c r="B77" s="131" t="s">
        <v>147</v>
      </c>
      <c r="C77" s="132" t="s">
        <v>147</v>
      </c>
      <c r="D77" s="132"/>
      <c r="E77" s="133">
        <v>9800</v>
      </c>
      <c r="F77" s="21">
        <v>7350</v>
      </c>
      <c r="G77" s="132"/>
      <c r="H77" s="134">
        <v>267</v>
      </c>
      <c r="I77" s="132">
        <v>253</v>
      </c>
      <c r="J77" s="135">
        <v>260</v>
      </c>
    </row>
    <row r="78" spans="2:10" x14ac:dyDescent="0.3">
      <c r="B78" s="131" t="s">
        <v>143</v>
      </c>
      <c r="C78" s="132" t="s">
        <v>143</v>
      </c>
      <c r="D78" s="132"/>
      <c r="E78" s="133">
        <v>4200</v>
      </c>
      <c r="F78" s="21">
        <v>3150</v>
      </c>
      <c r="G78" s="132"/>
      <c r="H78" s="134">
        <v>163</v>
      </c>
      <c r="I78" s="132">
        <v>144</v>
      </c>
      <c r="J78" s="135">
        <v>153</v>
      </c>
    </row>
    <row r="79" spans="2:10" x14ac:dyDescent="0.3">
      <c r="B79" s="131" t="s">
        <v>150</v>
      </c>
      <c r="C79" s="132" t="s">
        <v>150</v>
      </c>
      <c r="D79" s="132"/>
      <c r="E79" s="133">
        <v>2700</v>
      </c>
      <c r="F79" s="21">
        <v>2025</v>
      </c>
      <c r="G79" s="132"/>
      <c r="H79" s="134">
        <v>93</v>
      </c>
      <c r="I79" s="132">
        <v>94</v>
      </c>
      <c r="J79" s="135">
        <v>93</v>
      </c>
    </row>
    <row r="80" spans="2:10" x14ac:dyDescent="0.3">
      <c r="B80" s="131" t="s">
        <v>155</v>
      </c>
      <c r="C80" s="132" t="s">
        <v>140</v>
      </c>
      <c r="D80" s="132"/>
      <c r="E80" s="133">
        <v>10300</v>
      </c>
      <c r="F80" s="21">
        <v>7725</v>
      </c>
      <c r="G80" s="132"/>
      <c r="H80" s="134">
        <v>302</v>
      </c>
      <c r="I80" s="132">
        <v>231</v>
      </c>
      <c r="J80" s="135">
        <v>266</v>
      </c>
    </row>
    <row r="81" spans="2:10" x14ac:dyDescent="0.3">
      <c r="B81" s="131" t="s">
        <v>159</v>
      </c>
      <c r="C81" s="132" t="s">
        <v>148</v>
      </c>
      <c r="D81" s="132"/>
      <c r="E81" s="133">
        <v>6800</v>
      </c>
      <c r="F81" s="21">
        <v>5100</v>
      </c>
      <c r="G81" s="132"/>
      <c r="H81" s="134">
        <v>232</v>
      </c>
      <c r="I81" s="132">
        <v>202</v>
      </c>
      <c r="J81" s="135">
        <v>217</v>
      </c>
    </row>
    <row r="82" spans="2:10" x14ac:dyDescent="0.3">
      <c r="B82" s="131" t="s">
        <v>146</v>
      </c>
      <c r="C82" s="132" t="s">
        <v>146</v>
      </c>
      <c r="D82" s="132"/>
      <c r="E82" s="133">
        <v>4100</v>
      </c>
      <c r="F82" s="21">
        <v>3075</v>
      </c>
      <c r="G82" s="132"/>
      <c r="H82" s="134">
        <v>140</v>
      </c>
      <c r="I82" s="132">
        <v>136</v>
      </c>
      <c r="J82" s="135">
        <v>138</v>
      </c>
    </row>
    <row r="83" spans="2:10" x14ac:dyDescent="0.3">
      <c r="B83" s="131" t="s">
        <v>157</v>
      </c>
      <c r="C83" s="132" t="s">
        <v>142</v>
      </c>
      <c r="D83" s="132"/>
      <c r="E83" s="133">
        <v>6400</v>
      </c>
      <c r="F83" s="21">
        <v>4800</v>
      </c>
      <c r="G83" s="132"/>
      <c r="H83" s="134">
        <v>190</v>
      </c>
      <c r="I83" s="132">
        <v>180</v>
      </c>
      <c r="J83" s="135">
        <v>185</v>
      </c>
    </row>
    <row r="84" spans="2:10" x14ac:dyDescent="0.3">
      <c r="B84" s="131" t="s">
        <v>151</v>
      </c>
      <c r="C84" s="132" t="s">
        <v>151</v>
      </c>
      <c r="D84" s="132"/>
      <c r="E84" s="133">
        <v>2400</v>
      </c>
      <c r="F84" s="21">
        <v>1800</v>
      </c>
      <c r="G84" s="132"/>
      <c r="H84" s="134">
        <v>102</v>
      </c>
      <c r="I84" s="132">
        <v>105</v>
      </c>
      <c r="J84" s="135">
        <v>103</v>
      </c>
    </row>
    <row r="85" spans="2:10" x14ac:dyDescent="0.3">
      <c r="B85" s="131" t="s">
        <v>141</v>
      </c>
      <c r="C85" s="132" t="s">
        <v>141</v>
      </c>
      <c r="D85" s="132"/>
      <c r="E85" s="133">
        <v>9000</v>
      </c>
      <c r="F85" s="21">
        <v>6750</v>
      </c>
      <c r="G85" s="132"/>
      <c r="H85" s="134">
        <v>217</v>
      </c>
      <c r="I85" s="132">
        <v>277</v>
      </c>
      <c r="J85" s="135">
        <v>247</v>
      </c>
    </row>
    <row r="86" spans="2:10" x14ac:dyDescent="0.3">
      <c r="B86" s="131" t="s">
        <v>148</v>
      </c>
      <c r="C86" s="132" t="s">
        <v>148</v>
      </c>
      <c r="D86" s="132"/>
      <c r="E86" s="133">
        <v>11700</v>
      </c>
      <c r="F86" s="21">
        <v>8775</v>
      </c>
      <c r="G86" s="132"/>
      <c r="H86" s="134">
        <v>232</v>
      </c>
      <c r="I86" s="132">
        <v>202</v>
      </c>
      <c r="J86" s="135">
        <v>217</v>
      </c>
    </row>
    <row r="87" spans="2:10" x14ac:dyDescent="0.3">
      <c r="B87" s="131" t="s">
        <v>145</v>
      </c>
      <c r="C87" s="132" t="s">
        <v>145</v>
      </c>
      <c r="D87" s="132"/>
      <c r="E87" s="133">
        <v>3900</v>
      </c>
      <c r="F87" s="21">
        <v>2925</v>
      </c>
      <c r="G87" s="132"/>
      <c r="H87" s="134">
        <v>144</v>
      </c>
      <c r="I87" s="132">
        <v>169</v>
      </c>
      <c r="J87" s="135">
        <v>156</v>
      </c>
    </row>
    <row r="88" spans="2:10" x14ac:dyDescent="0.3">
      <c r="B88" s="131" t="s">
        <v>149</v>
      </c>
      <c r="C88" s="132" t="s">
        <v>149</v>
      </c>
      <c r="D88" s="132"/>
      <c r="E88" s="133">
        <v>7000</v>
      </c>
      <c r="F88" s="21">
        <v>5250</v>
      </c>
      <c r="G88" s="132"/>
      <c r="H88" s="134">
        <v>170</v>
      </c>
      <c r="I88" s="132">
        <v>173</v>
      </c>
      <c r="J88" s="135">
        <v>171</v>
      </c>
    </row>
    <row r="89" spans="2:10" x14ac:dyDescent="0.3">
      <c r="B89" s="131" t="s">
        <v>144</v>
      </c>
      <c r="C89" s="132" t="s">
        <v>144</v>
      </c>
      <c r="D89" s="132"/>
      <c r="E89" s="133">
        <v>4800</v>
      </c>
      <c r="F89" s="21">
        <v>3600</v>
      </c>
      <c r="G89" s="132"/>
      <c r="H89" s="134">
        <v>165</v>
      </c>
      <c r="I89" s="132">
        <v>175</v>
      </c>
      <c r="J89" s="135">
        <v>170</v>
      </c>
    </row>
    <row r="90" spans="2:10" x14ac:dyDescent="0.3">
      <c r="B90" s="131" t="s">
        <v>156</v>
      </c>
      <c r="C90" s="132" t="s">
        <v>140</v>
      </c>
      <c r="D90" s="132"/>
      <c r="E90" s="133">
        <v>9400</v>
      </c>
      <c r="F90" s="21">
        <v>7050</v>
      </c>
      <c r="G90" s="132"/>
      <c r="H90" s="134">
        <v>302</v>
      </c>
      <c r="I90" s="132">
        <v>231</v>
      </c>
      <c r="J90" s="135">
        <v>266</v>
      </c>
    </row>
    <row r="91" spans="2:10" x14ac:dyDescent="0.3">
      <c r="B91" s="131" t="s">
        <v>139</v>
      </c>
      <c r="C91" s="132" t="s">
        <v>139</v>
      </c>
      <c r="D91" s="132"/>
      <c r="E91" s="133">
        <v>11000</v>
      </c>
      <c r="F91" s="21">
        <v>8250</v>
      </c>
      <c r="G91" s="132"/>
      <c r="H91" s="134">
        <v>236</v>
      </c>
      <c r="I91" s="132">
        <v>226</v>
      </c>
      <c r="J91" s="135">
        <v>231</v>
      </c>
    </row>
    <row r="92" spans="2:10" x14ac:dyDescent="0.3">
      <c r="B92" s="131" t="s">
        <v>137</v>
      </c>
      <c r="C92" s="132" t="s">
        <v>137</v>
      </c>
      <c r="D92" s="132"/>
      <c r="E92" s="133">
        <v>9800</v>
      </c>
      <c r="F92" s="21">
        <v>7350</v>
      </c>
      <c r="G92" s="132"/>
      <c r="H92" s="134">
        <v>240</v>
      </c>
      <c r="I92" s="132">
        <v>286</v>
      </c>
      <c r="J92" s="135">
        <v>263</v>
      </c>
    </row>
    <row r="93" spans="2:10" x14ac:dyDescent="0.3">
      <c r="B93" s="136" t="s">
        <v>138</v>
      </c>
      <c r="C93" s="127" t="s">
        <v>138</v>
      </c>
      <c r="D93" s="127"/>
      <c r="E93" s="137">
        <v>12300</v>
      </c>
      <c r="F93" s="138">
        <v>9225</v>
      </c>
      <c r="G93" s="127"/>
      <c r="H93" s="139">
        <v>336</v>
      </c>
      <c r="I93" s="127">
        <v>352</v>
      </c>
      <c r="J93" s="140">
        <v>344</v>
      </c>
    </row>
    <row r="97" spans="2:9" ht="18" x14ac:dyDescent="0.35">
      <c r="B97" s="141" t="s">
        <v>131</v>
      </c>
    </row>
    <row r="99" spans="2:9" x14ac:dyDescent="0.3">
      <c r="B99" t="s">
        <v>132</v>
      </c>
      <c r="C99" t="s">
        <v>133</v>
      </c>
    </row>
    <row r="100" spans="2:9" x14ac:dyDescent="0.3">
      <c r="B100" s="57" t="s">
        <v>121</v>
      </c>
    </row>
    <row r="101" spans="2:9" x14ac:dyDescent="0.3">
      <c r="B101" t="s">
        <v>134</v>
      </c>
      <c r="C101" t="s">
        <v>135</v>
      </c>
    </row>
    <row r="103" spans="2:9" ht="28.8" x14ac:dyDescent="0.3">
      <c r="B103" s="3" t="s">
        <v>154</v>
      </c>
      <c r="C103" s="70" t="s">
        <v>172</v>
      </c>
      <c r="D103" s="70" t="s">
        <v>173</v>
      </c>
      <c r="E103" s="3" t="s">
        <v>174</v>
      </c>
      <c r="F103" s="3" t="s">
        <v>175</v>
      </c>
      <c r="G103" s="3" t="s">
        <v>176</v>
      </c>
      <c r="H103" s="3" t="s">
        <v>177</v>
      </c>
      <c r="I103" s="3" t="s">
        <v>136</v>
      </c>
    </row>
    <row r="104" spans="2:9" x14ac:dyDescent="0.3">
      <c r="B104" t="s">
        <v>137</v>
      </c>
      <c r="C104" s="69">
        <v>240</v>
      </c>
      <c r="D104" s="69">
        <v>286</v>
      </c>
      <c r="E104">
        <v>218</v>
      </c>
      <c r="F104">
        <v>237</v>
      </c>
      <c r="G104">
        <v>339</v>
      </c>
      <c r="H104">
        <v>270</v>
      </c>
      <c r="I104">
        <v>237</v>
      </c>
    </row>
    <row r="105" spans="2:9" x14ac:dyDescent="0.3">
      <c r="B105" t="s">
        <v>138</v>
      </c>
      <c r="C105" s="69">
        <v>336</v>
      </c>
      <c r="D105" s="69">
        <v>352</v>
      </c>
      <c r="E105">
        <v>333</v>
      </c>
      <c r="F105">
        <v>285</v>
      </c>
      <c r="G105">
        <v>492</v>
      </c>
      <c r="H105">
        <v>385</v>
      </c>
      <c r="I105">
        <v>350</v>
      </c>
    </row>
    <row r="106" spans="2:9" x14ac:dyDescent="0.3">
      <c r="B106" t="s">
        <v>139</v>
      </c>
      <c r="C106" s="69">
        <v>236</v>
      </c>
      <c r="D106" s="69">
        <v>226</v>
      </c>
      <c r="E106">
        <v>278</v>
      </c>
      <c r="F106">
        <v>270</v>
      </c>
      <c r="G106">
        <v>418</v>
      </c>
      <c r="H106">
        <v>329</v>
      </c>
      <c r="I106">
        <v>297</v>
      </c>
    </row>
    <row r="107" spans="2:9" x14ac:dyDescent="0.3">
      <c r="B107" t="s">
        <v>140</v>
      </c>
      <c r="C107" s="69">
        <v>302</v>
      </c>
      <c r="D107" s="69">
        <v>231</v>
      </c>
      <c r="E107">
        <v>248</v>
      </c>
      <c r="F107">
        <v>244</v>
      </c>
      <c r="G107">
        <v>411</v>
      </c>
      <c r="H107">
        <v>246</v>
      </c>
      <c r="I107">
        <v>267</v>
      </c>
    </row>
    <row r="108" spans="2:9" x14ac:dyDescent="0.3">
      <c r="B108" t="s">
        <v>141</v>
      </c>
      <c r="C108" s="69">
        <v>217</v>
      </c>
      <c r="D108" s="69">
        <v>277</v>
      </c>
      <c r="E108">
        <v>207</v>
      </c>
      <c r="F108">
        <v>166</v>
      </c>
      <c r="G108">
        <v>230</v>
      </c>
      <c r="H108">
        <v>252</v>
      </c>
      <c r="I108">
        <v>217</v>
      </c>
    </row>
    <row r="109" spans="2:9" x14ac:dyDescent="0.3">
      <c r="B109" t="s">
        <v>142</v>
      </c>
      <c r="C109" s="69">
        <v>190</v>
      </c>
      <c r="D109" s="69">
        <v>180</v>
      </c>
      <c r="E109">
        <v>172</v>
      </c>
      <c r="F109">
        <v>146</v>
      </c>
      <c r="G109">
        <v>620</v>
      </c>
      <c r="H109">
        <v>204</v>
      </c>
      <c r="I109">
        <v>186</v>
      </c>
    </row>
    <row r="110" spans="2:9" x14ac:dyDescent="0.3">
      <c r="B110" t="s">
        <v>143</v>
      </c>
      <c r="C110" s="69">
        <v>163</v>
      </c>
      <c r="D110" s="69">
        <v>144</v>
      </c>
      <c r="E110">
        <v>145</v>
      </c>
      <c r="F110">
        <v>145</v>
      </c>
      <c r="G110">
        <v>242</v>
      </c>
      <c r="H110">
        <v>154</v>
      </c>
      <c r="I110">
        <v>158</v>
      </c>
    </row>
    <row r="111" spans="2:9" x14ac:dyDescent="0.3">
      <c r="B111" t="s">
        <v>144</v>
      </c>
      <c r="C111" s="69">
        <v>165</v>
      </c>
      <c r="D111" s="69">
        <v>175</v>
      </c>
      <c r="E111">
        <v>136</v>
      </c>
      <c r="F111">
        <v>127</v>
      </c>
      <c r="G111">
        <v>171</v>
      </c>
      <c r="H111">
        <v>175</v>
      </c>
      <c r="I111">
        <v>155</v>
      </c>
    </row>
    <row r="112" spans="2:9" x14ac:dyDescent="0.3">
      <c r="B112" t="s">
        <v>145</v>
      </c>
      <c r="C112" s="69">
        <v>144</v>
      </c>
      <c r="D112" s="69">
        <v>169</v>
      </c>
      <c r="E112">
        <v>146</v>
      </c>
      <c r="F112">
        <v>113</v>
      </c>
      <c r="G112">
        <v>144</v>
      </c>
      <c r="H112">
        <v>162</v>
      </c>
      <c r="I112">
        <v>140</v>
      </c>
    </row>
    <row r="113" spans="2:20" x14ac:dyDescent="0.3">
      <c r="B113" t="s">
        <v>146</v>
      </c>
      <c r="C113" s="69">
        <v>140</v>
      </c>
      <c r="D113" s="69">
        <v>136</v>
      </c>
      <c r="E113">
        <v>141</v>
      </c>
      <c r="F113">
        <v>117</v>
      </c>
      <c r="G113">
        <v>146</v>
      </c>
      <c r="H113">
        <v>133</v>
      </c>
      <c r="I113">
        <v>134</v>
      </c>
    </row>
    <row r="114" spans="2:20" x14ac:dyDescent="0.3">
      <c r="B114" t="s">
        <v>147</v>
      </c>
      <c r="C114" s="69">
        <v>267</v>
      </c>
      <c r="D114" s="69">
        <v>253</v>
      </c>
      <c r="E114">
        <v>256</v>
      </c>
      <c r="F114">
        <v>216</v>
      </c>
      <c r="G114">
        <v>348</v>
      </c>
      <c r="H114">
        <v>310</v>
      </c>
      <c r="I114">
        <v>260</v>
      </c>
    </row>
    <row r="115" spans="2:20" x14ac:dyDescent="0.3">
      <c r="B115" t="s">
        <v>148</v>
      </c>
      <c r="C115" s="69">
        <v>232</v>
      </c>
      <c r="D115" s="69">
        <v>202</v>
      </c>
      <c r="E115">
        <v>257</v>
      </c>
      <c r="F115">
        <v>202</v>
      </c>
      <c r="G115">
        <v>385</v>
      </c>
      <c r="H115">
        <v>297</v>
      </c>
      <c r="I115">
        <v>240</v>
      </c>
    </row>
    <row r="116" spans="2:20" x14ac:dyDescent="0.3">
      <c r="B116" t="s">
        <v>149</v>
      </c>
      <c r="C116" s="69">
        <v>170</v>
      </c>
      <c r="D116" s="69">
        <v>173</v>
      </c>
      <c r="E116">
        <v>151</v>
      </c>
      <c r="F116">
        <v>169</v>
      </c>
      <c r="G116">
        <v>189</v>
      </c>
      <c r="H116">
        <v>168</v>
      </c>
      <c r="I116">
        <v>165</v>
      </c>
    </row>
    <row r="117" spans="2:20" x14ac:dyDescent="0.3">
      <c r="B117" t="s">
        <v>150</v>
      </c>
      <c r="C117" s="69">
        <v>93</v>
      </c>
      <c r="D117" s="69">
        <v>94</v>
      </c>
      <c r="E117">
        <v>136</v>
      </c>
      <c r="F117">
        <v>96</v>
      </c>
      <c r="G117">
        <v>169</v>
      </c>
      <c r="H117">
        <v>113</v>
      </c>
      <c r="I117">
        <v>98</v>
      </c>
    </row>
    <row r="118" spans="2:20" x14ac:dyDescent="0.3">
      <c r="B118" t="s">
        <v>151</v>
      </c>
      <c r="C118" s="69">
        <v>102</v>
      </c>
      <c r="D118" s="69">
        <v>105</v>
      </c>
      <c r="E118" t="s">
        <v>152</v>
      </c>
      <c r="F118">
        <v>105</v>
      </c>
      <c r="G118">
        <v>88</v>
      </c>
      <c r="H118">
        <v>78</v>
      </c>
      <c r="I118">
        <v>100</v>
      </c>
    </row>
    <row r="119" spans="2:20" x14ac:dyDescent="0.3">
      <c r="B119" s="6" t="s">
        <v>153</v>
      </c>
      <c r="C119" s="36">
        <v>260</v>
      </c>
      <c r="D119" s="36">
        <v>280</v>
      </c>
      <c r="E119" s="6">
        <v>252</v>
      </c>
      <c r="F119" s="6">
        <v>216</v>
      </c>
      <c r="G119" s="6">
        <v>355</v>
      </c>
      <c r="H119" s="6">
        <v>337</v>
      </c>
      <c r="I119" s="6">
        <v>272</v>
      </c>
    </row>
    <row r="122" spans="2:20" s="63" customFormat="1" ht="18" x14ac:dyDescent="0.35">
      <c r="B122" s="5" t="s">
        <v>171</v>
      </c>
      <c r="I122" s="5" t="s">
        <v>164</v>
      </c>
      <c r="P122" s="5" t="s">
        <v>170</v>
      </c>
    </row>
    <row r="123" spans="2:20" s="63" customFormat="1" x14ac:dyDescent="0.3"/>
    <row r="124" spans="2:20" s="63" customFormat="1" x14ac:dyDescent="0.3">
      <c r="B124" s="64" t="s">
        <v>132</v>
      </c>
      <c r="C124" s="68" t="s">
        <v>165</v>
      </c>
    </row>
    <row r="125" spans="2:20" s="63" customFormat="1" x14ac:dyDescent="0.3">
      <c r="B125" s="64" t="s">
        <v>160</v>
      </c>
    </row>
    <row r="126" spans="2:20" s="63" customFormat="1" x14ac:dyDescent="0.3">
      <c r="B126" s="64"/>
    </row>
    <row r="127" spans="2:20" s="63" customFormat="1" x14ac:dyDescent="0.3">
      <c r="B127" s="65" t="s">
        <v>120</v>
      </c>
      <c r="C127" s="65" t="s">
        <v>27</v>
      </c>
      <c r="D127" s="65" t="s">
        <v>163</v>
      </c>
      <c r="E127" s="65" t="s">
        <v>161</v>
      </c>
      <c r="F127" s="65" t="s">
        <v>162</v>
      </c>
      <c r="I127" s="65" t="s">
        <v>120</v>
      </c>
      <c r="J127" s="65" t="s">
        <v>27</v>
      </c>
      <c r="K127" s="65" t="s">
        <v>163</v>
      </c>
      <c r="L127" s="65" t="s">
        <v>161</v>
      </c>
      <c r="M127" s="65" t="s">
        <v>162</v>
      </c>
      <c r="P127" s="65" t="s">
        <v>120</v>
      </c>
      <c r="Q127" s="65" t="s">
        <v>27</v>
      </c>
      <c r="R127" s="65" t="s">
        <v>163</v>
      </c>
      <c r="S127" s="65" t="s">
        <v>161</v>
      </c>
      <c r="T127" s="65" t="s">
        <v>162</v>
      </c>
    </row>
    <row r="128" spans="2:20" x14ac:dyDescent="0.3">
      <c r="B128" t="s">
        <v>137</v>
      </c>
      <c r="C128">
        <v>22</v>
      </c>
      <c r="D128">
        <v>10.8</v>
      </c>
      <c r="E128" s="14">
        <v>9463</v>
      </c>
      <c r="F128" s="14">
        <v>9654</v>
      </c>
      <c r="I128" t="s">
        <v>137</v>
      </c>
      <c r="J128">
        <v>30</v>
      </c>
      <c r="K128">
        <v>8.3000000000000007</v>
      </c>
      <c r="L128" s="66">
        <v>10175</v>
      </c>
      <c r="M128" s="66">
        <v>10238</v>
      </c>
      <c r="P128" t="s">
        <v>137</v>
      </c>
      <c r="Q128">
        <v>20</v>
      </c>
      <c r="R128">
        <v>7.6</v>
      </c>
      <c r="S128" s="14">
        <v>9990</v>
      </c>
      <c r="T128" s="14">
        <v>10312</v>
      </c>
    </row>
    <row r="129" spans="2:20" x14ac:dyDescent="0.3">
      <c r="B129" t="s">
        <v>138</v>
      </c>
      <c r="C129">
        <v>43</v>
      </c>
      <c r="D129">
        <v>9.9</v>
      </c>
      <c r="E129" s="14">
        <v>12808</v>
      </c>
      <c r="F129" s="14">
        <v>11607</v>
      </c>
      <c r="I129" t="s">
        <v>138</v>
      </c>
      <c r="J129">
        <v>75</v>
      </c>
      <c r="K129">
        <v>8.6</v>
      </c>
      <c r="L129" s="66">
        <v>12000</v>
      </c>
      <c r="M129" s="66">
        <v>11866</v>
      </c>
      <c r="O129" s="63"/>
      <c r="P129" t="s">
        <v>138</v>
      </c>
      <c r="Q129">
        <v>50</v>
      </c>
      <c r="R129">
        <v>10.4</v>
      </c>
      <c r="S129" s="14">
        <v>12311</v>
      </c>
      <c r="T129" s="14">
        <v>11749</v>
      </c>
    </row>
    <row r="130" spans="2:20" x14ac:dyDescent="0.3">
      <c r="B130" t="s">
        <v>139</v>
      </c>
      <c r="C130">
        <v>30</v>
      </c>
      <c r="D130">
        <v>6.9</v>
      </c>
      <c r="E130" s="14">
        <v>9971</v>
      </c>
      <c r="F130" s="14">
        <v>10026</v>
      </c>
      <c r="I130" t="s">
        <v>139</v>
      </c>
      <c r="J130">
        <v>48</v>
      </c>
      <c r="K130">
        <v>8.3000000000000007</v>
      </c>
      <c r="L130" s="66">
        <v>11147</v>
      </c>
      <c r="M130" s="66">
        <v>11038</v>
      </c>
      <c r="P130" t="s">
        <v>139</v>
      </c>
      <c r="Q130">
        <v>47</v>
      </c>
      <c r="R130">
        <v>7.2</v>
      </c>
      <c r="S130" s="14">
        <v>12000</v>
      </c>
      <c r="T130" s="14">
        <v>10983</v>
      </c>
    </row>
    <row r="131" spans="2:20" x14ac:dyDescent="0.3">
      <c r="B131" t="s">
        <v>155</v>
      </c>
      <c r="C131">
        <v>25</v>
      </c>
      <c r="D131">
        <v>10.4</v>
      </c>
      <c r="E131" s="14">
        <v>9821</v>
      </c>
      <c r="F131" s="14">
        <v>10346</v>
      </c>
      <c r="I131" t="s">
        <v>155</v>
      </c>
      <c r="J131">
        <v>29</v>
      </c>
      <c r="K131">
        <v>9.5</v>
      </c>
      <c r="L131" s="66">
        <v>9237</v>
      </c>
      <c r="M131" s="66">
        <v>8956</v>
      </c>
      <c r="P131" t="s">
        <v>155</v>
      </c>
      <c r="Q131">
        <v>20</v>
      </c>
      <c r="R131">
        <v>11.2</v>
      </c>
      <c r="S131" s="14">
        <v>12111</v>
      </c>
      <c r="T131" s="14">
        <v>11459</v>
      </c>
    </row>
    <row r="132" spans="2:20" x14ac:dyDescent="0.3">
      <c r="B132" t="s">
        <v>141</v>
      </c>
      <c r="C132">
        <v>26</v>
      </c>
      <c r="D132">
        <v>5.8</v>
      </c>
      <c r="E132" s="14">
        <v>9319</v>
      </c>
      <c r="F132" s="14">
        <v>9542</v>
      </c>
      <c r="I132" t="s">
        <v>141</v>
      </c>
      <c r="J132">
        <v>33</v>
      </c>
      <c r="K132">
        <v>7</v>
      </c>
      <c r="L132" s="66">
        <v>9366</v>
      </c>
      <c r="M132" s="66">
        <v>9995</v>
      </c>
      <c r="P132" t="s">
        <v>141</v>
      </c>
      <c r="Q132">
        <v>29</v>
      </c>
      <c r="R132">
        <v>12.1</v>
      </c>
      <c r="S132" s="14">
        <v>8399</v>
      </c>
      <c r="T132" s="14">
        <v>8217</v>
      </c>
    </row>
    <row r="133" spans="2:20" x14ac:dyDescent="0.3">
      <c r="B133" t="s">
        <v>156</v>
      </c>
      <c r="C133">
        <v>14</v>
      </c>
      <c r="D133">
        <v>10.199999999999999</v>
      </c>
      <c r="E133" s="14">
        <v>9669</v>
      </c>
      <c r="F133" s="14">
        <v>9554</v>
      </c>
      <c r="I133" t="s">
        <v>156</v>
      </c>
      <c r="J133">
        <v>15</v>
      </c>
      <c r="K133">
        <v>8.1999999999999993</v>
      </c>
      <c r="L133" s="66">
        <v>9831</v>
      </c>
      <c r="M133" s="66">
        <v>9494</v>
      </c>
      <c r="P133" t="s">
        <v>156</v>
      </c>
      <c r="Q133">
        <v>18</v>
      </c>
      <c r="R133">
        <v>8.4</v>
      </c>
      <c r="S133" s="14">
        <v>8839</v>
      </c>
      <c r="T133" s="14">
        <v>9205</v>
      </c>
    </row>
    <row r="134" spans="2:20" x14ac:dyDescent="0.3">
      <c r="B134" t="s">
        <v>157</v>
      </c>
      <c r="C134">
        <v>21</v>
      </c>
      <c r="D134">
        <v>5.9</v>
      </c>
      <c r="E134" s="14">
        <v>5800</v>
      </c>
      <c r="F134" s="14">
        <v>6426</v>
      </c>
      <c r="I134" t="s">
        <v>157</v>
      </c>
      <c r="J134">
        <v>33</v>
      </c>
      <c r="K134">
        <v>10</v>
      </c>
      <c r="L134" s="66">
        <v>6968</v>
      </c>
      <c r="M134" s="66">
        <v>7127</v>
      </c>
      <c r="P134" t="s">
        <v>157</v>
      </c>
      <c r="Q134">
        <v>33</v>
      </c>
      <c r="R134">
        <v>9.4</v>
      </c>
      <c r="S134" s="14">
        <v>6704</v>
      </c>
      <c r="T134" s="14">
        <v>7173</v>
      </c>
    </row>
    <row r="135" spans="2:20" x14ac:dyDescent="0.3">
      <c r="B135" t="s">
        <v>158</v>
      </c>
      <c r="C135">
        <v>13</v>
      </c>
      <c r="D135">
        <v>6.8</v>
      </c>
      <c r="E135" s="14">
        <v>5939</v>
      </c>
      <c r="F135" s="14">
        <v>5989</v>
      </c>
      <c r="I135" t="s">
        <v>158</v>
      </c>
      <c r="J135">
        <v>11</v>
      </c>
      <c r="K135">
        <v>6.7</v>
      </c>
      <c r="L135" s="66">
        <v>4708</v>
      </c>
      <c r="M135" s="66">
        <v>4812</v>
      </c>
      <c r="P135" t="s">
        <v>158</v>
      </c>
      <c r="Q135">
        <v>14</v>
      </c>
      <c r="R135">
        <v>8.5</v>
      </c>
      <c r="S135" s="14">
        <v>5371</v>
      </c>
      <c r="T135" s="14">
        <v>5635</v>
      </c>
    </row>
    <row r="136" spans="2:20" x14ac:dyDescent="0.3">
      <c r="B136" t="s">
        <v>143</v>
      </c>
      <c r="C136">
        <v>8</v>
      </c>
      <c r="D136">
        <v>13</v>
      </c>
      <c r="E136" s="14">
        <v>4791</v>
      </c>
      <c r="F136" s="14">
        <v>5143</v>
      </c>
      <c r="I136" t="s">
        <v>143</v>
      </c>
      <c r="J136">
        <v>10</v>
      </c>
      <c r="K136">
        <v>25.3</v>
      </c>
      <c r="L136" s="66">
        <v>3978</v>
      </c>
      <c r="M136" s="66">
        <v>4064</v>
      </c>
      <c r="P136" t="s">
        <v>143</v>
      </c>
      <c r="Q136">
        <v>15</v>
      </c>
      <c r="R136">
        <v>9.6</v>
      </c>
      <c r="S136" s="14">
        <v>4128</v>
      </c>
      <c r="T136" s="14">
        <v>4666</v>
      </c>
    </row>
    <row r="137" spans="2:20" x14ac:dyDescent="0.3">
      <c r="B137" t="s">
        <v>144</v>
      </c>
      <c r="C137">
        <v>20</v>
      </c>
      <c r="D137">
        <v>7.8</v>
      </c>
      <c r="E137" s="14">
        <v>4561</v>
      </c>
      <c r="F137" s="14">
        <v>4877</v>
      </c>
      <c r="I137" t="s">
        <v>144</v>
      </c>
      <c r="J137">
        <v>26</v>
      </c>
      <c r="K137">
        <v>5.7</v>
      </c>
      <c r="L137" s="66">
        <v>5152</v>
      </c>
      <c r="M137" s="66">
        <v>5701</v>
      </c>
      <c r="P137" t="s">
        <v>144</v>
      </c>
      <c r="Q137">
        <v>33</v>
      </c>
      <c r="R137">
        <v>9.3000000000000007</v>
      </c>
      <c r="S137" s="14">
        <v>4905</v>
      </c>
      <c r="T137" s="14">
        <v>5290</v>
      </c>
    </row>
    <row r="138" spans="2:20" x14ac:dyDescent="0.3">
      <c r="B138" t="s">
        <v>145</v>
      </c>
      <c r="C138">
        <v>8</v>
      </c>
      <c r="D138">
        <v>6.4</v>
      </c>
      <c r="E138" s="14">
        <v>3848</v>
      </c>
      <c r="F138" s="14">
        <v>4397</v>
      </c>
      <c r="I138" t="s">
        <v>145</v>
      </c>
      <c r="J138">
        <v>21</v>
      </c>
      <c r="K138">
        <v>11.6</v>
      </c>
      <c r="L138" s="66">
        <v>4000</v>
      </c>
      <c r="M138" s="66">
        <v>3949</v>
      </c>
      <c r="P138" t="s">
        <v>145</v>
      </c>
      <c r="Q138">
        <v>25</v>
      </c>
      <c r="R138">
        <v>9.1999999999999993</v>
      </c>
      <c r="S138" s="14">
        <v>3931</v>
      </c>
      <c r="T138" s="14">
        <v>4607</v>
      </c>
    </row>
    <row r="139" spans="2:20" x14ac:dyDescent="0.3">
      <c r="B139" t="s">
        <v>146</v>
      </c>
      <c r="C139">
        <v>14</v>
      </c>
      <c r="D139">
        <v>8.6999999999999993</v>
      </c>
      <c r="E139" s="14">
        <v>4496</v>
      </c>
      <c r="F139" s="14">
        <v>4884</v>
      </c>
      <c r="I139" t="s">
        <v>146</v>
      </c>
      <c r="J139">
        <v>8</v>
      </c>
      <c r="K139">
        <v>11.4</v>
      </c>
      <c r="L139" s="66">
        <v>4097</v>
      </c>
      <c r="M139" s="66">
        <v>4318</v>
      </c>
      <c r="P139" t="s">
        <v>146</v>
      </c>
      <c r="Q139">
        <v>15</v>
      </c>
      <c r="R139">
        <v>15.6</v>
      </c>
      <c r="S139" s="14">
        <v>3778</v>
      </c>
      <c r="T139" s="14">
        <v>4036</v>
      </c>
    </row>
    <row r="140" spans="2:20" x14ac:dyDescent="0.3">
      <c r="B140" t="s">
        <v>147</v>
      </c>
      <c r="C140">
        <v>59</v>
      </c>
      <c r="D140">
        <v>6.4</v>
      </c>
      <c r="E140" s="14">
        <v>10427</v>
      </c>
      <c r="F140" s="14">
        <v>11059</v>
      </c>
      <c r="I140" t="s">
        <v>147</v>
      </c>
      <c r="J140">
        <v>107</v>
      </c>
      <c r="K140">
        <v>7.6</v>
      </c>
      <c r="L140" s="66">
        <v>9723</v>
      </c>
      <c r="M140" s="66">
        <v>9742</v>
      </c>
      <c r="P140" t="s">
        <v>147</v>
      </c>
      <c r="Q140">
        <v>115</v>
      </c>
      <c r="R140">
        <v>5.8</v>
      </c>
      <c r="S140" s="14">
        <v>9500</v>
      </c>
      <c r="T140" s="14">
        <v>10485</v>
      </c>
    </row>
    <row r="141" spans="2:20" x14ac:dyDescent="0.3">
      <c r="B141" t="s">
        <v>148</v>
      </c>
      <c r="C141">
        <v>25</v>
      </c>
      <c r="D141">
        <v>5.5</v>
      </c>
      <c r="E141" s="14">
        <v>11833</v>
      </c>
      <c r="F141" s="14">
        <v>11957</v>
      </c>
      <c r="I141" t="s">
        <v>148</v>
      </c>
      <c r="J141">
        <v>55</v>
      </c>
      <c r="K141">
        <v>5</v>
      </c>
      <c r="L141" s="66">
        <v>12041</v>
      </c>
      <c r="M141" s="66">
        <v>11692</v>
      </c>
      <c r="P141" t="s">
        <v>148</v>
      </c>
      <c r="Q141">
        <v>44</v>
      </c>
      <c r="R141">
        <v>4.8</v>
      </c>
      <c r="S141" s="14">
        <v>11238</v>
      </c>
      <c r="T141" s="14">
        <v>11122</v>
      </c>
    </row>
    <row r="142" spans="2:20" x14ac:dyDescent="0.3">
      <c r="B142" t="s">
        <v>159</v>
      </c>
      <c r="C142">
        <v>9</v>
      </c>
      <c r="D142">
        <v>6.3</v>
      </c>
      <c r="E142" s="14">
        <v>6798</v>
      </c>
      <c r="F142" s="14">
        <v>6446</v>
      </c>
      <c r="I142" t="s">
        <v>159</v>
      </c>
      <c r="J142">
        <v>12</v>
      </c>
      <c r="K142">
        <v>6.5</v>
      </c>
      <c r="L142" s="66">
        <v>7567</v>
      </c>
      <c r="M142" s="66">
        <v>8194</v>
      </c>
      <c r="P142" t="s">
        <v>159</v>
      </c>
      <c r="Q142">
        <v>9</v>
      </c>
      <c r="R142">
        <v>4.5999999999999996</v>
      </c>
      <c r="S142" s="14">
        <v>6250</v>
      </c>
      <c r="T142" s="14">
        <v>6599</v>
      </c>
    </row>
    <row r="143" spans="2:20" x14ac:dyDescent="0.3">
      <c r="B143" t="s">
        <v>149</v>
      </c>
      <c r="C143">
        <v>64</v>
      </c>
      <c r="D143">
        <v>8.1999999999999993</v>
      </c>
      <c r="E143" s="14">
        <v>7570</v>
      </c>
      <c r="F143" s="14">
        <v>7872</v>
      </c>
      <c r="I143" t="s">
        <v>149</v>
      </c>
      <c r="J143">
        <v>68</v>
      </c>
      <c r="K143">
        <v>9.4</v>
      </c>
      <c r="L143" s="66">
        <v>7079</v>
      </c>
      <c r="M143" s="66">
        <v>7421</v>
      </c>
      <c r="P143" t="s">
        <v>149</v>
      </c>
      <c r="Q143">
        <v>82</v>
      </c>
      <c r="R143">
        <v>12.3</v>
      </c>
      <c r="S143" s="14">
        <v>6642</v>
      </c>
      <c r="T143" s="14">
        <v>7391</v>
      </c>
    </row>
    <row r="144" spans="2:20" x14ac:dyDescent="0.3">
      <c r="B144" t="s">
        <v>150</v>
      </c>
      <c r="C144">
        <v>0</v>
      </c>
      <c r="D144">
        <v>0</v>
      </c>
      <c r="E144" s="47">
        <v>0</v>
      </c>
      <c r="F144" s="47">
        <v>0</v>
      </c>
      <c r="I144" t="s">
        <v>150</v>
      </c>
      <c r="J144">
        <v>0</v>
      </c>
      <c r="K144">
        <v>0</v>
      </c>
      <c r="L144" s="66">
        <v>0</v>
      </c>
      <c r="M144" s="66">
        <v>0</v>
      </c>
      <c r="P144" s="11" t="s">
        <v>150</v>
      </c>
      <c r="Q144" s="11">
        <v>5</v>
      </c>
      <c r="R144" s="11">
        <v>5.7</v>
      </c>
      <c r="S144" s="47">
        <v>2786</v>
      </c>
      <c r="T144" s="47">
        <v>2322</v>
      </c>
    </row>
    <row r="145" spans="2:20" x14ac:dyDescent="0.3">
      <c r="B145" s="6" t="s">
        <v>151</v>
      </c>
      <c r="C145" s="6">
        <v>6</v>
      </c>
      <c r="D145" s="6">
        <v>5.5</v>
      </c>
      <c r="E145" s="19">
        <v>2539</v>
      </c>
      <c r="F145" s="19">
        <v>2787</v>
      </c>
      <c r="I145" s="6" t="s">
        <v>151</v>
      </c>
      <c r="J145" s="6">
        <v>5</v>
      </c>
      <c r="K145" s="6">
        <v>18.3</v>
      </c>
      <c r="L145" s="67">
        <v>1750</v>
      </c>
      <c r="M145" s="67">
        <v>2124</v>
      </c>
      <c r="P145" s="6" t="s">
        <v>151</v>
      </c>
      <c r="Q145" s="6">
        <v>9</v>
      </c>
      <c r="R145" s="6">
        <v>5.9</v>
      </c>
      <c r="S145" s="19">
        <v>3146</v>
      </c>
      <c r="T145" s="19">
        <v>2911</v>
      </c>
    </row>
    <row r="147" spans="2:20" x14ac:dyDescent="0.3">
      <c r="B147" t="s">
        <v>166</v>
      </c>
    </row>
    <row r="148" spans="2:20" x14ac:dyDescent="0.3">
      <c r="B148" t="s">
        <v>167</v>
      </c>
    </row>
    <row r="149" spans="2:20" x14ac:dyDescent="0.3">
      <c r="B149" t="s">
        <v>168</v>
      </c>
    </row>
    <row r="150" spans="2:20" x14ac:dyDescent="0.3">
      <c r="B150" t="s">
        <v>169</v>
      </c>
    </row>
  </sheetData>
  <sheetProtection sheet="1" objects="1" scenarios="1"/>
  <dataValidations count="2">
    <dataValidation type="list" allowBlank="1" showInputMessage="1" showErrorMessage="1" promptTitle="Valitse pudotusvalikosta" prompt="maakunta, jossa tila sijaitsee" sqref="E19" xr:uid="{00000000-0002-0000-0100-000000000000}">
      <formula1>$B$76:$B$93</formula1>
    </dataValidation>
    <dataValidation type="list" errorStyle="information" allowBlank="1" showInputMessage="1" showErrorMessage="1" errorTitle="Valitse pudotusvalikosta" promptTitle="Valitse pudotusvalikosta" prompt="Valitse tukialua pudotusvalikosta. Pudotusvalikko avautuu tuosta solun oikealla puolella olevasta nuoli alaspäin -kuvakkeesta" sqref="E40 E42" xr:uid="{00000000-0002-0000-0100-000001000000}">
      <formula1>Tukialue</formula1>
    </dataValidation>
  </dataValidations>
  <hyperlinks>
    <hyperlink ref="B100" r:id="rId1" xr:uid="{00000000-0004-0000-0100-000000000000}"/>
    <hyperlink ref="C124" r:id="rId2" location="t41g4_x_2016_x_Maakunta" xr:uid="{00000000-0004-0000-0100-000001000000}"/>
  </hyperlinks>
  <printOptions horizontalCentered="1" gridLines="1"/>
  <pageMargins left="0.39370078740157483" right="0.39370078740157483" top="0.39370078740157483" bottom="0.39370078740157483" header="0.31496062992125984" footer="0.19685039370078741"/>
  <pageSetup paperSize="9" scale="86" orientation="portrait" r:id="rId3"/>
  <headerFooter>
    <oddFooter>&amp;L&amp;G&amp;C&amp;G&amp;R&amp;G</oddFooter>
  </headerFooter>
  <colBreaks count="2" manualBreakCount="2">
    <brk id="7" min="1" max="55" man="1"/>
    <brk id="20" max="1048575" man="1"/>
  </colBreaks>
  <legacy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promptTitle="Valitse pudotusvalikosta" prompt="viljelykasvi kasvi, jolle laskelma tehdään" xr:uid="{00000000-0002-0000-0100-000002000000}">
          <x14:formula1>
            <xm:f>Yhteenveto!$B$54:$B$58</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8">
    <tabColor rgb="FF0000FF"/>
    <pageSetUpPr fitToPage="1"/>
  </sheetPr>
  <dimension ref="A1:R24"/>
  <sheetViews>
    <sheetView zoomScale="120" zoomScaleNormal="120" workbookViewId="0">
      <pane ySplit="5" topLeftCell="A6" activePane="bottomLeft" state="frozen"/>
      <selection pane="bottomLeft" activeCell="F26" sqref="F26"/>
    </sheetView>
  </sheetViews>
  <sheetFormatPr defaultRowHeight="14.4" x14ac:dyDescent="0.3"/>
  <cols>
    <col min="1" max="1" width="3.33203125" bestFit="1" customWidth="1"/>
    <col min="2" max="2" width="12.109375" customWidth="1"/>
    <col min="6" max="6" width="10.77734375" customWidth="1"/>
    <col min="8" max="8" width="9.6640625" customWidth="1"/>
    <col min="10" max="13" width="9.88671875" customWidth="1"/>
  </cols>
  <sheetData>
    <row r="1" spans="1:18" ht="21" x14ac:dyDescent="0.4">
      <c r="B1" s="23" t="s">
        <v>411</v>
      </c>
    </row>
    <row r="2" spans="1:18" ht="15" customHeight="1" x14ac:dyDescent="0.4">
      <c r="A2" s="23"/>
    </row>
    <row r="3" spans="1:18" x14ac:dyDescent="0.3">
      <c r="B3" s="24" t="s">
        <v>443</v>
      </c>
    </row>
    <row r="4" spans="1:18" x14ac:dyDescent="0.3">
      <c r="A4" s="242"/>
      <c r="B4" s="243"/>
      <c r="C4" s="332" t="s">
        <v>341</v>
      </c>
      <c r="D4" s="333"/>
      <c r="E4" s="333"/>
      <c r="F4" s="244"/>
      <c r="G4" s="257" t="s">
        <v>396</v>
      </c>
      <c r="H4" s="243"/>
      <c r="I4" s="242"/>
      <c r="J4" s="245"/>
      <c r="K4" s="284"/>
      <c r="L4" s="288"/>
      <c r="M4" s="288"/>
    </row>
    <row r="5" spans="1:18" ht="31.8" customHeight="1" x14ac:dyDescent="0.3">
      <c r="A5" s="246"/>
      <c r="B5" s="34" t="s">
        <v>337</v>
      </c>
      <c r="C5" s="220" t="s">
        <v>338</v>
      </c>
      <c r="D5" s="212" t="s">
        <v>339</v>
      </c>
      <c r="E5" s="212" t="s">
        <v>340</v>
      </c>
      <c r="F5" s="220" t="s">
        <v>422</v>
      </c>
      <c r="G5" s="220" t="s">
        <v>395</v>
      </c>
      <c r="H5" s="212" t="s">
        <v>343</v>
      </c>
      <c r="I5" s="220" t="s">
        <v>342</v>
      </c>
      <c r="J5" s="247" t="s">
        <v>344</v>
      </c>
      <c r="K5" s="285" t="s">
        <v>202</v>
      </c>
      <c r="L5" s="308" t="s">
        <v>438</v>
      </c>
      <c r="M5" s="308" t="s">
        <v>439</v>
      </c>
      <c r="O5" s="4" t="s">
        <v>394</v>
      </c>
    </row>
    <row r="6" spans="1:18" x14ac:dyDescent="0.3">
      <c r="A6" s="248">
        <v>1</v>
      </c>
      <c r="B6" s="177" t="s">
        <v>432</v>
      </c>
      <c r="C6" s="221">
        <v>30</v>
      </c>
      <c r="D6" s="249">
        <v>8</v>
      </c>
      <c r="E6" s="250">
        <v>2.2000000000000002</v>
      </c>
      <c r="F6" s="230">
        <f>C6*D6*E6</f>
        <v>528</v>
      </c>
      <c r="G6" s="221">
        <v>700</v>
      </c>
      <c r="H6" s="251">
        <f>F6*G6</f>
        <v>369600</v>
      </c>
      <c r="I6" s="222">
        <v>0.35</v>
      </c>
      <c r="J6" s="252">
        <f>H6*I6</f>
        <v>129359.99999999999</v>
      </c>
      <c r="K6" s="286">
        <v>695</v>
      </c>
      <c r="L6" s="289">
        <f>K6*0.016</f>
        <v>11.120000000000001</v>
      </c>
      <c r="M6" s="305">
        <f>J6*L6</f>
        <v>1438483.2</v>
      </c>
      <c r="N6" s="14"/>
      <c r="O6" t="s">
        <v>421</v>
      </c>
    </row>
    <row r="7" spans="1:18" x14ac:dyDescent="0.3">
      <c r="A7" s="248">
        <v>2</v>
      </c>
      <c r="B7" s="177" t="s">
        <v>433</v>
      </c>
      <c r="C7" s="221">
        <v>30</v>
      </c>
      <c r="D7" s="249">
        <v>8</v>
      </c>
      <c r="E7" s="250">
        <v>1.7</v>
      </c>
      <c r="F7" s="230">
        <f t="shared" ref="F7:F11" si="0">C7*D7*E7</f>
        <v>408</v>
      </c>
      <c r="G7" s="221">
        <v>700</v>
      </c>
      <c r="H7" s="251">
        <f t="shared" ref="H7:H13" si="1">F7*G7</f>
        <v>285600</v>
      </c>
      <c r="I7" s="222">
        <v>0.35</v>
      </c>
      <c r="J7" s="252">
        <f t="shared" ref="J7:J13" si="2">H7*I7</f>
        <v>99960</v>
      </c>
      <c r="K7" s="286">
        <v>640</v>
      </c>
      <c r="L7" s="289">
        <f t="shared" ref="L7:L21" si="3">K7*0.016</f>
        <v>10.24</v>
      </c>
      <c r="M7" s="305">
        <f t="shared" ref="M7:M21" si="4">J7*L7</f>
        <v>1023590.4</v>
      </c>
      <c r="N7" s="14"/>
      <c r="O7" t="s">
        <v>423</v>
      </c>
    </row>
    <row r="8" spans="1:18" x14ac:dyDescent="0.3">
      <c r="A8" s="131">
        <v>3</v>
      </c>
      <c r="B8" s="177" t="s">
        <v>434</v>
      </c>
      <c r="C8" s="221">
        <v>20</v>
      </c>
      <c r="D8" s="249">
        <v>8</v>
      </c>
      <c r="E8" s="250">
        <v>1</v>
      </c>
      <c r="F8" s="230">
        <f>C8*D8*E8</f>
        <v>160</v>
      </c>
      <c r="G8" s="221">
        <v>700</v>
      </c>
      <c r="H8" s="251">
        <f t="shared" si="1"/>
        <v>112000</v>
      </c>
      <c r="I8" s="222">
        <v>0.4</v>
      </c>
      <c r="J8" s="252">
        <f t="shared" si="2"/>
        <v>44800</v>
      </c>
      <c r="K8" s="286">
        <v>655</v>
      </c>
      <c r="L8" s="289">
        <f t="shared" si="3"/>
        <v>10.48</v>
      </c>
      <c r="M8" s="305">
        <f t="shared" si="4"/>
        <v>469504</v>
      </c>
      <c r="N8" s="14"/>
      <c r="O8" t="s">
        <v>397</v>
      </c>
    </row>
    <row r="9" spans="1:18" x14ac:dyDescent="0.3">
      <c r="A9" s="248">
        <v>4</v>
      </c>
      <c r="B9" s="177" t="s">
        <v>435</v>
      </c>
      <c r="C9" s="221"/>
      <c r="D9" s="249"/>
      <c r="E9" s="250"/>
      <c r="F9" s="230">
        <f t="shared" si="0"/>
        <v>0</v>
      </c>
      <c r="G9" s="221">
        <v>700</v>
      </c>
      <c r="H9" s="251">
        <f t="shared" si="1"/>
        <v>0</v>
      </c>
      <c r="I9" s="222">
        <v>0.35</v>
      </c>
      <c r="J9" s="252">
        <f t="shared" si="2"/>
        <v>0</v>
      </c>
      <c r="K9" s="286">
        <v>670</v>
      </c>
      <c r="L9" s="289">
        <f t="shared" si="3"/>
        <v>10.72</v>
      </c>
      <c r="M9" s="305">
        <f t="shared" si="4"/>
        <v>0</v>
      </c>
      <c r="N9" s="14"/>
      <c r="O9" t="s">
        <v>392</v>
      </c>
    </row>
    <row r="10" spans="1:18" x14ac:dyDescent="0.3">
      <c r="A10" s="131">
        <v>5</v>
      </c>
      <c r="B10" s="177" t="s">
        <v>436</v>
      </c>
      <c r="C10" s="221"/>
      <c r="D10" s="249"/>
      <c r="E10" s="250"/>
      <c r="F10" s="230">
        <f t="shared" si="0"/>
        <v>0</v>
      </c>
      <c r="G10" s="221">
        <v>700</v>
      </c>
      <c r="H10" s="251">
        <f t="shared" si="1"/>
        <v>0</v>
      </c>
      <c r="I10" s="222">
        <v>0.35</v>
      </c>
      <c r="J10" s="252">
        <f t="shared" si="2"/>
        <v>0</v>
      </c>
      <c r="K10" s="286">
        <v>670</v>
      </c>
      <c r="L10" s="289">
        <f t="shared" si="3"/>
        <v>10.72</v>
      </c>
      <c r="M10" s="305">
        <f t="shared" si="4"/>
        <v>0</v>
      </c>
      <c r="N10" s="14"/>
    </row>
    <row r="11" spans="1:18" x14ac:dyDescent="0.3">
      <c r="A11" s="291">
        <v>6</v>
      </c>
      <c r="B11" s="177" t="s">
        <v>437</v>
      </c>
      <c r="C11" s="293"/>
      <c r="D11" s="294"/>
      <c r="E11" s="295"/>
      <c r="F11" s="296">
        <f t="shared" si="0"/>
        <v>0</v>
      </c>
      <c r="G11" s="293">
        <v>700</v>
      </c>
      <c r="H11" s="304">
        <f t="shared" si="1"/>
        <v>0</v>
      </c>
      <c r="I11" s="297">
        <v>0.35</v>
      </c>
      <c r="J11" s="298">
        <f t="shared" si="2"/>
        <v>0</v>
      </c>
      <c r="K11" s="299">
        <v>670</v>
      </c>
      <c r="L11" s="300">
        <f t="shared" si="3"/>
        <v>10.72</v>
      </c>
      <c r="M11" s="306">
        <f t="shared" si="4"/>
        <v>0</v>
      </c>
      <c r="N11" s="14"/>
      <c r="O11" s="4" t="s">
        <v>219</v>
      </c>
    </row>
    <row r="12" spans="1:18" ht="16.2" x14ac:dyDescent="0.3">
      <c r="A12" s="131">
        <v>7</v>
      </c>
      <c r="B12" s="177" t="s">
        <v>377</v>
      </c>
      <c r="C12" s="273"/>
      <c r="D12" s="274"/>
      <c r="E12" s="275"/>
      <c r="F12" s="230">
        <v>104</v>
      </c>
      <c r="G12" s="221">
        <v>700</v>
      </c>
      <c r="H12" s="251">
        <f t="shared" si="1"/>
        <v>72800</v>
      </c>
      <c r="I12" s="222">
        <v>0.35</v>
      </c>
      <c r="J12" s="252">
        <f t="shared" si="2"/>
        <v>25480</v>
      </c>
      <c r="K12" s="286">
        <v>685</v>
      </c>
      <c r="L12" s="289">
        <f t="shared" si="3"/>
        <v>10.96</v>
      </c>
      <c r="M12" s="305">
        <f t="shared" si="4"/>
        <v>279260.80000000005</v>
      </c>
      <c r="N12" s="14"/>
      <c r="O12" s="214" t="s">
        <v>336</v>
      </c>
      <c r="P12" s="215"/>
      <c r="Q12" s="215"/>
      <c r="R12" s="216"/>
    </row>
    <row r="13" spans="1:18" x14ac:dyDescent="0.3">
      <c r="A13" s="248">
        <v>8</v>
      </c>
      <c r="B13" s="177" t="s">
        <v>378</v>
      </c>
      <c r="C13" s="273"/>
      <c r="D13" s="274"/>
      <c r="E13" s="275"/>
      <c r="F13" s="230">
        <v>60</v>
      </c>
      <c r="G13" s="221">
        <v>850</v>
      </c>
      <c r="H13" s="251">
        <f t="shared" si="1"/>
        <v>51000</v>
      </c>
      <c r="I13" s="222">
        <v>0.35</v>
      </c>
      <c r="J13" s="252">
        <f t="shared" si="2"/>
        <v>17850</v>
      </c>
      <c r="K13" s="286">
        <v>670</v>
      </c>
      <c r="L13" s="289">
        <f t="shared" si="3"/>
        <v>10.72</v>
      </c>
      <c r="M13" s="305">
        <f t="shared" si="4"/>
        <v>191352</v>
      </c>
      <c r="N13" s="14"/>
      <c r="O13" s="93" t="s">
        <v>222</v>
      </c>
      <c r="P13" s="90" t="s">
        <v>221</v>
      </c>
      <c r="Q13" s="91"/>
      <c r="R13" s="92"/>
    </row>
    <row r="14" spans="1:18" x14ac:dyDescent="0.3">
      <c r="A14" s="131">
        <v>9</v>
      </c>
      <c r="B14" s="177" t="s">
        <v>379</v>
      </c>
      <c r="C14" s="273"/>
      <c r="D14" s="274"/>
      <c r="E14" s="275"/>
      <c r="F14" s="230">
        <v>239</v>
      </c>
      <c r="G14" s="221">
        <v>698</v>
      </c>
      <c r="H14" s="251">
        <f t="shared" ref="H14:H21" si="5">F14*G14</f>
        <v>166822</v>
      </c>
      <c r="I14" s="222">
        <v>0.35</v>
      </c>
      <c r="J14" s="252">
        <f t="shared" ref="J14:J21" si="6">H14*I14</f>
        <v>58387.7</v>
      </c>
      <c r="K14" s="286">
        <v>665</v>
      </c>
      <c r="L14" s="289">
        <f t="shared" si="3"/>
        <v>10.64</v>
      </c>
      <c r="M14" s="305">
        <f t="shared" si="4"/>
        <v>621245.12800000003</v>
      </c>
      <c r="N14" s="14"/>
      <c r="O14" s="94" t="s">
        <v>223</v>
      </c>
      <c r="P14" s="95">
        <v>20</v>
      </c>
      <c r="Q14" s="29">
        <v>30</v>
      </c>
      <c r="R14" s="96">
        <v>40</v>
      </c>
    </row>
    <row r="15" spans="1:18" x14ac:dyDescent="0.3">
      <c r="A15" s="248">
        <v>10</v>
      </c>
      <c r="B15" s="177" t="s">
        <v>380</v>
      </c>
      <c r="C15" s="273"/>
      <c r="D15" s="274"/>
      <c r="E15" s="275"/>
      <c r="F15" s="230">
        <f t="shared" ref="F15" si="7">C15*D15*E15</f>
        <v>0</v>
      </c>
      <c r="G15" s="221">
        <v>699</v>
      </c>
      <c r="H15" s="251">
        <f t="shared" si="5"/>
        <v>0</v>
      </c>
      <c r="I15" s="222">
        <v>0.35</v>
      </c>
      <c r="J15" s="252">
        <f t="shared" si="6"/>
        <v>0</v>
      </c>
      <c r="K15" s="286">
        <v>670</v>
      </c>
      <c r="L15" s="289">
        <f t="shared" si="3"/>
        <v>10.72</v>
      </c>
      <c r="M15" s="305">
        <f t="shared" si="4"/>
        <v>0</v>
      </c>
      <c r="N15" s="14"/>
      <c r="O15" s="99">
        <v>0.5</v>
      </c>
      <c r="P15" s="97">
        <v>675</v>
      </c>
      <c r="Q15" s="30">
        <v>570</v>
      </c>
      <c r="R15" s="98">
        <v>500</v>
      </c>
    </row>
    <row r="16" spans="1:18" x14ac:dyDescent="0.3">
      <c r="A16" s="131">
        <v>11</v>
      </c>
      <c r="B16" s="177" t="s">
        <v>381</v>
      </c>
      <c r="C16" s="273"/>
      <c r="D16" s="274"/>
      <c r="E16" s="275"/>
      <c r="F16" s="230">
        <f t="shared" ref="F16:F17" si="8">C16*D16*E16</f>
        <v>0</v>
      </c>
      <c r="G16" s="221">
        <v>700</v>
      </c>
      <c r="H16" s="251">
        <f t="shared" si="5"/>
        <v>0</v>
      </c>
      <c r="I16" s="222">
        <v>0.35</v>
      </c>
      <c r="J16" s="252">
        <f t="shared" si="6"/>
        <v>0</v>
      </c>
      <c r="K16" s="286">
        <v>670</v>
      </c>
      <c r="L16" s="289">
        <f t="shared" si="3"/>
        <v>10.72</v>
      </c>
      <c r="M16" s="305">
        <f t="shared" si="4"/>
        <v>0</v>
      </c>
      <c r="N16" s="14"/>
      <c r="O16" s="99">
        <v>1</v>
      </c>
      <c r="P16" s="97">
        <v>750</v>
      </c>
      <c r="Q16" s="30">
        <v>670</v>
      </c>
      <c r="R16" s="98">
        <v>590</v>
      </c>
    </row>
    <row r="17" spans="1:18" x14ac:dyDescent="0.3">
      <c r="A17" s="291">
        <v>12</v>
      </c>
      <c r="B17" s="292" t="s">
        <v>382</v>
      </c>
      <c r="C17" s="301"/>
      <c r="D17" s="302"/>
      <c r="E17" s="303"/>
      <c r="F17" s="296">
        <f t="shared" si="8"/>
        <v>0</v>
      </c>
      <c r="G17" s="293">
        <v>700</v>
      </c>
      <c r="H17" s="304">
        <f t="shared" si="5"/>
        <v>0</v>
      </c>
      <c r="I17" s="297">
        <v>0.35</v>
      </c>
      <c r="J17" s="298">
        <f t="shared" si="6"/>
        <v>0</v>
      </c>
      <c r="K17" s="299">
        <v>670</v>
      </c>
      <c r="L17" s="300">
        <f t="shared" si="3"/>
        <v>10.72</v>
      </c>
      <c r="M17" s="306">
        <f t="shared" si="4"/>
        <v>0</v>
      </c>
      <c r="N17" s="14"/>
      <c r="O17" s="99">
        <v>1.5</v>
      </c>
      <c r="P17" s="97">
        <v>775</v>
      </c>
      <c r="Q17" s="30">
        <v>730</v>
      </c>
      <c r="R17" s="98">
        <v>650</v>
      </c>
    </row>
    <row r="18" spans="1:18" x14ac:dyDescent="0.3">
      <c r="A18" s="131">
        <v>13</v>
      </c>
      <c r="B18" s="177" t="s">
        <v>417</v>
      </c>
      <c r="C18" s="309" t="s">
        <v>440</v>
      </c>
      <c r="D18" s="274"/>
      <c r="E18" s="275"/>
      <c r="F18" s="279"/>
      <c r="G18" s="273"/>
      <c r="H18" s="164">
        <f t="shared" si="5"/>
        <v>0</v>
      </c>
      <c r="I18" s="222">
        <v>0.35</v>
      </c>
      <c r="J18" s="252">
        <f t="shared" si="6"/>
        <v>0</v>
      </c>
      <c r="K18" s="286">
        <v>670</v>
      </c>
      <c r="L18" s="289">
        <f t="shared" si="3"/>
        <v>10.72</v>
      </c>
      <c r="M18" s="305">
        <f t="shared" si="4"/>
        <v>0</v>
      </c>
      <c r="N18" s="14"/>
      <c r="O18" s="99">
        <v>2</v>
      </c>
      <c r="P18" s="97">
        <v>800</v>
      </c>
      <c r="Q18" s="30">
        <v>760</v>
      </c>
      <c r="R18" s="98">
        <v>685</v>
      </c>
    </row>
    <row r="19" spans="1:18" x14ac:dyDescent="0.3">
      <c r="A19" s="248">
        <v>14</v>
      </c>
      <c r="B19" s="177" t="s">
        <v>418</v>
      </c>
      <c r="C19" s="309" t="s">
        <v>441</v>
      </c>
      <c r="D19" s="274"/>
      <c r="E19" s="275"/>
      <c r="F19" s="279"/>
      <c r="G19" s="273"/>
      <c r="H19" s="164">
        <f t="shared" si="5"/>
        <v>0</v>
      </c>
      <c r="I19" s="222">
        <v>0.35</v>
      </c>
      <c r="J19" s="252">
        <f t="shared" si="6"/>
        <v>0</v>
      </c>
      <c r="K19" s="286">
        <v>670</v>
      </c>
      <c r="L19" s="289">
        <f t="shared" si="3"/>
        <v>10.72</v>
      </c>
      <c r="M19" s="305">
        <f t="shared" si="4"/>
        <v>0</v>
      </c>
      <c r="N19" s="14"/>
      <c r="O19" s="100" t="s">
        <v>224</v>
      </c>
      <c r="P19" s="95">
        <v>825</v>
      </c>
      <c r="Q19" s="29">
        <v>780</v>
      </c>
      <c r="R19" s="96">
        <v>710</v>
      </c>
    </row>
    <row r="20" spans="1:18" x14ac:dyDescent="0.3">
      <c r="A20" s="131">
        <v>15</v>
      </c>
      <c r="B20" s="177" t="s">
        <v>419</v>
      </c>
      <c r="C20" s="309" t="s">
        <v>442</v>
      </c>
      <c r="D20" s="274"/>
      <c r="E20" s="275"/>
      <c r="F20" s="279"/>
      <c r="G20" s="273"/>
      <c r="H20" s="164">
        <f t="shared" si="5"/>
        <v>0</v>
      </c>
      <c r="I20" s="222">
        <v>0.35</v>
      </c>
      <c r="J20" s="252">
        <f t="shared" si="6"/>
        <v>0</v>
      </c>
      <c r="K20" s="286">
        <v>670</v>
      </c>
      <c r="L20" s="289">
        <f t="shared" si="3"/>
        <v>10.72</v>
      </c>
      <c r="M20" s="305">
        <f t="shared" si="4"/>
        <v>0</v>
      </c>
      <c r="N20" s="14"/>
      <c r="O20" t="s">
        <v>424</v>
      </c>
    </row>
    <row r="21" spans="1:18" x14ac:dyDescent="0.3">
      <c r="A21" s="253">
        <v>16</v>
      </c>
      <c r="B21" s="155" t="s">
        <v>420</v>
      </c>
      <c r="C21" s="276"/>
      <c r="D21" s="277"/>
      <c r="E21" s="278"/>
      <c r="F21" s="280"/>
      <c r="G21" s="276"/>
      <c r="H21" s="170">
        <f t="shared" si="5"/>
        <v>0</v>
      </c>
      <c r="I21" s="254">
        <v>0.35</v>
      </c>
      <c r="J21" s="255">
        <f t="shared" si="6"/>
        <v>0</v>
      </c>
      <c r="K21" s="287">
        <v>670</v>
      </c>
      <c r="L21" s="290">
        <f t="shared" si="3"/>
        <v>10.72</v>
      </c>
      <c r="M21" s="307">
        <f t="shared" si="4"/>
        <v>0</v>
      </c>
      <c r="N21" s="14"/>
      <c r="O21" t="s">
        <v>220</v>
      </c>
    </row>
    <row r="22" spans="1:18" x14ac:dyDescent="0.3">
      <c r="A22" s="311" t="s">
        <v>58</v>
      </c>
      <c r="B22" s="312"/>
      <c r="C22" s="313"/>
      <c r="D22" s="314"/>
      <c r="E22" s="315"/>
      <c r="F22" s="316">
        <f>SUM(F6:F17)</f>
        <v>1499</v>
      </c>
      <c r="G22" s="313">
        <f>H22/F22</f>
        <v>705.68512341561041</v>
      </c>
      <c r="H22" s="317">
        <f>SUM(H6:H21)</f>
        <v>1057822</v>
      </c>
      <c r="I22" s="318">
        <f>J22/H22</f>
        <v>0.35529389632660319</v>
      </c>
      <c r="J22" s="319">
        <f>SUM(J6:J21)</f>
        <v>375837.7</v>
      </c>
      <c r="K22" s="320">
        <f>L22/0.016</f>
        <v>669.07795705433489</v>
      </c>
      <c r="L22" s="321">
        <f>M22/J22</f>
        <v>10.705247312869359</v>
      </c>
      <c r="M22" s="322">
        <f>SUM(M6:M21)</f>
        <v>4023435.5280000004</v>
      </c>
      <c r="N22" s="11"/>
    </row>
    <row r="23" spans="1:18" x14ac:dyDescent="0.3">
      <c r="A23" s="311" t="s">
        <v>393</v>
      </c>
      <c r="B23" s="312"/>
      <c r="C23" s="313">
        <f>'1. Pelto'!E8</f>
        <v>60</v>
      </c>
      <c r="D23" s="314" t="s">
        <v>84</v>
      </c>
      <c r="E23" s="315"/>
      <c r="F23" s="323">
        <f>F22/C23</f>
        <v>24.983333333333334</v>
      </c>
      <c r="G23" s="313"/>
      <c r="H23" s="317">
        <f>H22/C23</f>
        <v>17630.366666666665</v>
      </c>
      <c r="I23" s="318"/>
      <c r="J23" s="310">
        <f>J22/C23</f>
        <v>6263.961666666667</v>
      </c>
      <c r="K23" s="320"/>
      <c r="L23" s="321"/>
      <c r="M23" s="322">
        <f>M22/C23</f>
        <v>67057.258800000011</v>
      </c>
      <c r="N23" s="11"/>
    </row>
    <row r="24" spans="1:18" x14ac:dyDescent="0.3">
      <c r="A24" s="148"/>
      <c r="B24" s="153"/>
      <c r="C24" s="217"/>
      <c r="D24" s="217"/>
      <c r="E24" s="218"/>
      <c r="F24" s="208"/>
      <c r="G24" s="217"/>
      <c r="H24" s="208"/>
      <c r="I24" s="219"/>
      <c r="J24" s="208"/>
      <c r="K24" s="208"/>
      <c r="L24" s="208"/>
      <c r="M24" s="11"/>
      <c r="N24" s="11"/>
    </row>
  </sheetData>
  <sheetProtection sheet="1" objects="1" scenarios="1"/>
  <mergeCells count="1">
    <mergeCell ref="C4:E4"/>
  </mergeCells>
  <phoneticPr fontId="27" type="noConversion"/>
  <pageMargins left="0.39370078740157483" right="0.39370078740157483" top="0.39370078740157483" bottom="0.39370078740157483" header="0.31496062992125984" footer="0.31496062992125984"/>
  <pageSetup paperSize="9" scale="72"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tabColor rgb="FF0000FF"/>
  </sheetPr>
  <dimension ref="A1:AB50"/>
  <sheetViews>
    <sheetView zoomScale="120" zoomScaleNormal="120" workbookViewId="0">
      <pane xSplit="2" ySplit="7" topLeftCell="C8" activePane="bottomRight" state="frozen"/>
      <selection activeCell="J14" sqref="J14"/>
      <selection pane="topRight" activeCell="J14" sqref="J14"/>
      <selection pane="bottomLeft" activeCell="J14" sqref="J14"/>
      <selection pane="bottomRight" activeCell="B9" sqref="B9"/>
    </sheetView>
  </sheetViews>
  <sheetFormatPr defaultRowHeight="14.4" x14ac:dyDescent="0.3"/>
  <cols>
    <col min="1" max="1" width="3.5546875" customWidth="1"/>
    <col min="2" max="2" width="20.6640625" customWidth="1"/>
    <col min="3" max="7" width="8.5546875" customWidth="1"/>
    <col min="8" max="8" width="2.5546875" customWidth="1"/>
    <col min="9" max="11" width="8.44140625" customWidth="1"/>
    <col min="12" max="12" width="2.5546875" customWidth="1"/>
    <col min="13" max="18" width="8.5546875" customWidth="1"/>
    <col min="19" max="19" width="3" customWidth="1"/>
    <col min="20" max="23" width="8.5546875" customWidth="1"/>
    <col min="24" max="24" width="2.6640625" customWidth="1"/>
    <col min="25" max="26" width="9.5546875" style="74" customWidth="1"/>
    <col min="27" max="28" width="9.109375" style="74"/>
  </cols>
  <sheetData>
    <row r="1" spans="1:28" ht="21" x14ac:dyDescent="0.4">
      <c r="B1" s="23" t="s">
        <v>32</v>
      </c>
      <c r="I1" s="4" t="s">
        <v>228</v>
      </c>
      <c r="L1" t="s">
        <v>402</v>
      </c>
      <c r="M1" s="105" t="s">
        <v>298</v>
      </c>
      <c r="O1" s="114"/>
      <c r="P1" s="114"/>
      <c r="Q1" s="114"/>
      <c r="R1" s="114"/>
      <c r="T1" s="4" t="s">
        <v>230</v>
      </c>
      <c r="U1" s="114"/>
      <c r="V1" s="114"/>
      <c r="W1" s="114"/>
      <c r="X1" t="s">
        <v>402</v>
      </c>
      <c r="Y1" s="87" t="s">
        <v>192</v>
      </c>
    </row>
    <row r="2" spans="1:28" s="4" customFormat="1" x14ac:dyDescent="0.3">
      <c r="C2" s="14"/>
      <c r="D2" s="14"/>
      <c r="E2" s="14"/>
      <c r="F2" s="14"/>
      <c r="H2" s="42" t="s">
        <v>403</v>
      </c>
      <c r="I2" s="260">
        <f>SUM(J2:K2)</f>
        <v>95</v>
      </c>
      <c r="J2" s="18">
        <f>'1. Pelto'!E8</f>
        <v>60</v>
      </c>
      <c r="K2" s="18">
        <f>'1. Pelto'!E14</f>
        <v>35</v>
      </c>
      <c r="L2" s="14"/>
      <c r="M2" s="14"/>
      <c r="N2" s="14"/>
      <c r="O2" s="14"/>
      <c r="P2" s="42"/>
      <c r="Q2" s="18"/>
      <c r="R2" s="18"/>
      <c r="S2"/>
      <c r="T2"/>
      <c r="U2" s="42"/>
      <c r="V2" s="18"/>
      <c r="W2" s="18"/>
      <c r="X2"/>
      <c r="Y2" s="42" t="s">
        <v>30</v>
      </c>
      <c r="Z2" s="86">
        <f>SUM(AA2:AB2)</f>
        <v>95</v>
      </c>
      <c r="AA2" s="18">
        <f>'1. Pelto'!E8</f>
        <v>60</v>
      </c>
      <c r="AB2" s="18">
        <f>'1. Pelto'!E14</f>
        <v>35</v>
      </c>
    </row>
    <row r="3" spans="1:28" x14ac:dyDescent="0.3">
      <c r="B3" s="4"/>
      <c r="C3" s="14"/>
      <c r="D3" s="14"/>
      <c r="E3" s="14"/>
      <c r="F3" s="14"/>
      <c r="H3" s="42" t="s">
        <v>28</v>
      </c>
      <c r="I3" s="8">
        <f>I4/I2</f>
        <v>567.06578947368416</v>
      </c>
      <c r="J3" s="261">
        <f>J4/J2</f>
        <v>518.40555555555557</v>
      </c>
      <c r="K3" s="8">
        <f>K4/K2</f>
        <v>650.48333333333323</v>
      </c>
      <c r="L3" s="14"/>
      <c r="M3" s="14"/>
      <c r="O3" s="14"/>
      <c r="P3" s="42"/>
      <c r="Q3" s="8"/>
      <c r="R3" s="8"/>
      <c r="U3" s="42"/>
      <c r="V3" s="8"/>
      <c r="W3" s="8"/>
      <c r="Y3" s="42" t="s">
        <v>28</v>
      </c>
      <c r="Z3" s="86">
        <f>Z4/Z2</f>
        <v>2814.7368421052633</v>
      </c>
      <c r="AA3" s="86">
        <f t="shared" ref="AA3:AB3" si="0">AA4/AA2</f>
        <v>2626.6944444444443</v>
      </c>
      <c r="AB3" s="86">
        <f t="shared" si="0"/>
        <v>3137.0952380952381</v>
      </c>
    </row>
    <row r="4" spans="1:28" x14ac:dyDescent="0.3">
      <c r="B4" s="4" t="s">
        <v>53</v>
      </c>
      <c r="C4" s="39">
        <f>SUM(C8:C51)</f>
        <v>512000</v>
      </c>
      <c r="D4" s="39"/>
      <c r="E4" s="39">
        <f>(C4-F4)/M4</f>
        <v>12.008050089445439</v>
      </c>
      <c r="F4" s="39">
        <f>SUM(F8:F51)</f>
        <v>154000</v>
      </c>
      <c r="G4" s="39">
        <f>SUM(G8:G51)</f>
        <v>16650</v>
      </c>
      <c r="H4" s="39"/>
      <c r="I4" s="39">
        <f>P4+U4</f>
        <v>53871.25</v>
      </c>
      <c r="J4" s="262">
        <f>Q4+V4</f>
        <v>31104.333333333336</v>
      </c>
      <c r="K4" s="239">
        <f>R4+W4</f>
        <v>22766.916666666664</v>
      </c>
      <c r="L4" s="39"/>
      <c r="M4" s="39">
        <f>SUM(M8:M37)</f>
        <v>29813.333333333332</v>
      </c>
      <c r="N4" s="39">
        <f t="shared" ref="N4:R4" si="1">SUM(N8:N37)</f>
        <v>13320</v>
      </c>
      <c r="O4" s="39">
        <f t="shared" si="1"/>
        <v>43133.333333333328</v>
      </c>
      <c r="P4" s="39">
        <f t="shared" si="1"/>
        <v>38890</v>
      </c>
      <c r="Q4" s="262">
        <f t="shared" si="1"/>
        <v>22674.333333333336</v>
      </c>
      <c r="R4" s="239">
        <f t="shared" si="1"/>
        <v>16215.666666666666</v>
      </c>
      <c r="S4" s="4"/>
      <c r="T4" s="39">
        <f>SUM(T8:T37)</f>
        <v>16650</v>
      </c>
      <c r="U4" s="39">
        <f>SUM(U8:U37)</f>
        <v>14981.25</v>
      </c>
      <c r="V4" s="262">
        <f>SUM(V8:V37)</f>
        <v>8430</v>
      </c>
      <c r="W4" s="239">
        <f>SUM(W8:W37)</f>
        <v>6551.25</v>
      </c>
      <c r="X4" s="4"/>
      <c r="Y4" s="85">
        <f>SUM(Y8:Y51)</f>
        <v>298933.33333333331</v>
      </c>
      <c r="Z4" s="85">
        <f>SUM(Z8:Z51)</f>
        <v>267400</v>
      </c>
      <c r="AA4" s="85">
        <f>SUM(AA8:AA51)</f>
        <v>157601.66666666666</v>
      </c>
      <c r="AB4" s="85">
        <f>SUM(AB8:AB51)</f>
        <v>109798.33333333333</v>
      </c>
    </row>
    <row r="5" spans="1:28" x14ac:dyDescent="0.3">
      <c r="I5" s="114">
        <f>I4/$I$4</f>
        <v>1</v>
      </c>
      <c r="J5" s="114">
        <f>J4/$I$4</f>
        <v>0.57738280313401558</v>
      </c>
      <c r="K5" s="114">
        <f>K4/$I$4</f>
        <v>0.42261719686598442</v>
      </c>
    </row>
    <row r="6" spans="1:28" s="4" customFormat="1" x14ac:dyDescent="0.3">
      <c r="B6" s="4" t="s">
        <v>54</v>
      </c>
      <c r="F6" s="232" t="str">
        <f>IF(L7&gt;0,"Tarkista koneen kokonaiskäyttöaika!","")</f>
        <v/>
      </c>
      <c r="G6" s="197">
        <v>0.05</v>
      </c>
      <c r="H6" s="40"/>
      <c r="L6" s="40"/>
      <c r="N6" s="197">
        <f>'7. Laskelma'!D7</f>
        <v>0.04</v>
      </c>
      <c r="Z6" s="87"/>
      <c r="AA6" s="87"/>
      <c r="AB6" s="87"/>
    </row>
    <row r="7" spans="1:28" ht="45.6" customHeight="1" x14ac:dyDescent="0.3">
      <c r="A7" s="34"/>
      <c r="B7" s="34" t="s">
        <v>33</v>
      </c>
      <c r="C7" s="70" t="s">
        <v>95</v>
      </c>
      <c r="D7" s="70" t="s">
        <v>368</v>
      </c>
      <c r="E7" s="70" t="s">
        <v>376</v>
      </c>
      <c r="F7" s="70" t="s">
        <v>96</v>
      </c>
      <c r="G7" s="70" t="s">
        <v>36</v>
      </c>
      <c r="H7" s="58"/>
      <c r="I7" s="70" t="s">
        <v>98</v>
      </c>
      <c r="J7" s="70" t="str">
        <f>'1. Pelto'!E5</f>
        <v>Säilörehu</v>
      </c>
      <c r="K7" s="70" t="s">
        <v>297</v>
      </c>
      <c r="L7" s="234">
        <f>SUM(L8:L37)</f>
        <v>0</v>
      </c>
      <c r="M7" s="209" t="s">
        <v>34</v>
      </c>
      <c r="N7" s="209" t="s">
        <v>35</v>
      </c>
      <c r="O7" s="209" t="s">
        <v>37</v>
      </c>
      <c r="P7" s="209" t="s">
        <v>52</v>
      </c>
      <c r="Q7" s="209" t="str">
        <f>J7</f>
        <v>Säilörehu</v>
      </c>
      <c r="R7" s="209" t="s">
        <v>297</v>
      </c>
      <c r="S7" s="210"/>
      <c r="T7" s="209" t="s">
        <v>36</v>
      </c>
      <c r="U7" s="209" t="s">
        <v>227</v>
      </c>
      <c r="V7" s="209" t="str">
        <f>J7</f>
        <v>Säilörehu</v>
      </c>
      <c r="W7" s="209" t="s">
        <v>297</v>
      </c>
      <c r="X7" s="233">
        <f>SUM(X8:X37)</f>
        <v>0</v>
      </c>
      <c r="Y7" s="209" t="s">
        <v>371</v>
      </c>
      <c r="Z7" s="209" t="s">
        <v>130</v>
      </c>
      <c r="AA7" s="209" t="str">
        <f>J7</f>
        <v>Säilörehu</v>
      </c>
      <c r="AB7" s="209" t="s">
        <v>297</v>
      </c>
    </row>
    <row r="8" spans="1:28" x14ac:dyDescent="0.3">
      <c r="A8" s="148">
        <v>1</v>
      </c>
      <c r="B8" s="153" t="s">
        <v>38</v>
      </c>
      <c r="C8" s="149">
        <v>90000</v>
      </c>
      <c r="D8" s="149">
        <v>2</v>
      </c>
      <c r="E8" s="149">
        <v>10</v>
      </c>
      <c r="F8" s="149">
        <v>35000</v>
      </c>
      <c r="G8" s="149">
        <f t="shared" ref="G8:G37" si="2">(C8+F8)/2*$G$6</f>
        <v>3125</v>
      </c>
      <c r="H8" s="231" t="str">
        <f>IF(D8&gt;E8,"!?!","")</f>
        <v/>
      </c>
      <c r="I8" s="196">
        <v>1</v>
      </c>
      <c r="J8" s="196">
        <v>0.55000000000000004</v>
      </c>
      <c r="K8" s="196">
        <f>1-J8</f>
        <v>0.44999999999999996</v>
      </c>
      <c r="L8" s="235">
        <f>IF(D8&gt;E8,1,0)</f>
        <v>0</v>
      </c>
      <c r="M8" s="86">
        <f t="shared" ref="M8:M37" si="3">(C8-F8)/E8</f>
        <v>5500</v>
      </c>
      <c r="N8" s="86">
        <f t="shared" ref="N8:N37" si="4">(C8+F8)/2*$N$6</f>
        <v>2500</v>
      </c>
      <c r="O8" s="86">
        <f t="shared" ref="O8:O37" si="5">SUM(M8:N8)</f>
        <v>8000</v>
      </c>
      <c r="P8" s="86">
        <f>O8*I8</f>
        <v>8000</v>
      </c>
      <c r="Q8" s="86">
        <f>P8*J8</f>
        <v>4400</v>
      </c>
      <c r="R8" s="86">
        <f>P8*K8</f>
        <v>3599.9999999999995</v>
      </c>
      <c r="S8" s="16"/>
      <c r="T8" s="86">
        <f t="shared" ref="T8:T37" si="6">G8</f>
        <v>3125</v>
      </c>
      <c r="U8" s="86">
        <f>T8*I8</f>
        <v>3125</v>
      </c>
      <c r="V8" s="86">
        <f>U8*J8</f>
        <v>1718.7500000000002</v>
      </c>
      <c r="W8" s="86">
        <f>U8*K8</f>
        <v>1406.2499999999998</v>
      </c>
      <c r="X8" s="88">
        <f>IF(Y8&lt;0,1,0)</f>
        <v>0</v>
      </c>
      <c r="Y8" s="86">
        <f>C8-(M8*D8)</f>
        <v>79000</v>
      </c>
      <c r="Z8" s="86">
        <f>Y8*I8</f>
        <v>79000</v>
      </c>
      <c r="AA8" s="86">
        <f>Z8*J8</f>
        <v>43450</v>
      </c>
      <c r="AB8" s="86">
        <f>Z8*K8</f>
        <v>35550</v>
      </c>
    </row>
    <row r="9" spans="1:28" x14ac:dyDescent="0.3">
      <c r="A9" s="148">
        <v>2</v>
      </c>
      <c r="B9" s="153" t="s">
        <v>39</v>
      </c>
      <c r="C9" s="149">
        <v>60000</v>
      </c>
      <c r="D9" s="149">
        <v>8</v>
      </c>
      <c r="E9" s="149">
        <v>10</v>
      </c>
      <c r="F9" s="149">
        <v>30000</v>
      </c>
      <c r="G9" s="149">
        <f t="shared" si="2"/>
        <v>2250</v>
      </c>
      <c r="H9" s="231" t="str">
        <f>IF(D9&gt;E9,"!?!","")</f>
        <v/>
      </c>
      <c r="I9" s="196">
        <v>1</v>
      </c>
      <c r="J9" s="196">
        <v>0.35</v>
      </c>
      <c r="K9" s="196">
        <f t="shared" ref="K9:K37" si="7">1-J9</f>
        <v>0.65</v>
      </c>
      <c r="L9" s="235">
        <f t="shared" ref="L9:L37" si="8">IF(D9&gt;E9,1,0)</f>
        <v>0</v>
      </c>
      <c r="M9" s="86">
        <f t="shared" si="3"/>
        <v>3000</v>
      </c>
      <c r="N9" s="86">
        <f t="shared" si="4"/>
        <v>1800</v>
      </c>
      <c r="O9" s="86">
        <f t="shared" si="5"/>
        <v>4800</v>
      </c>
      <c r="P9" s="86">
        <f t="shared" ref="P9:P37" si="9">O9*I9</f>
        <v>4800</v>
      </c>
      <c r="Q9" s="86">
        <f t="shared" ref="Q9:Q37" si="10">P9*J9</f>
        <v>1680</v>
      </c>
      <c r="R9" s="86">
        <f t="shared" ref="R9:R37" si="11">P9*K9</f>
        <v>3120</v>
      </c>
      <c r="T9" s="86">
        <f t="shared" si="6"/>
        <v>2250</v>
      </c>
      <c r="U9" s="86">
        <f t="shared" ref="U9:U37" si="12">T9*I9</f>
        <v>2250</v>
      </c>
      <c r="V9" s="86">
        <f t="shared" ref="V9:V37" si="13">U9*J9</f>
        <v>787.5</v>
      </c>
      <c r="W9" s="86">
        <f t="shared" ref="W9:W37" si="14">U9*K9</f>
        <v>1462.5</v>
      </c>
      <c r="X9" s="88">
        <f t="shared" ref="X9:X37" si="15">IF(Y9&lt;0,1,0)</f>
        <v>0</v>
      </c>
      <c r="Y9" s="86">
        <f t="shared" ref="Y9:Y37" si="16">C9-(M9*D9)</f>
        <v>36000</v>
      </c>
      <c r="Z9" s="86">
        <f t="shared" ref="Z9:Z37" si="17">Y9*I9</f>
        <v>36000</v>
      </c>
      <c r="AA9" s="86">
        <f t="shared" ref="AA9:AA37" si="18">Z9*J9</f>
        <v>12600</v>
      </c>
      <c r="AB9" s="86">
        <f t="shared" ref="AB9:AB37" si="19">Z9*K9</f>
        <v>23400</v>
      </c>
    </row>
    <row r="10" spans="1:28" x14ac:dyDescent="0.3">
      <c r="A10" s="148">
        <v>3</v>
      </c>
      <c r="B10" s="153" t="s">
        <v>40</v>
      </c>
      <c r="C10" s="149">
        <v>30000</v>
      </c>
      <c r="D10" s="149">
        <v>15</v>
      </c>
      <c r="E10" s="149">
        <v>15</v>
      </c>
      <c r="F10" s="149">
        <v>15000</v>
      </c>
      <c r="G10" s="149">
        <f t="shared" si="2"/>
        <v>1125</v>
      </c>
      <c r="H10" s="231" t="str">
        <f>IF(D10&gt;E10,"!?!","")</f>
        <v/>
      </c>
      <c r="I10" s="196">
        <v>1</v>
      </c>
      <c r="J10" s="196">
        <v>0.15</v>
      </c>
      <c r="K10" s="196">
        <f t="shared" si="7"/>
        <v>0.85</v>
      </c>
      <c r="L10" s="235">
        <f t="shared" si="8"/>
        <v>0</v>
      </c>
      <c r="M10" s="86">
        <f t="shared" si="3"/>
        <v>1000</v>
      </c>
      <c r="N10" s="86">
        <f t="shared" si="4"/>
        <v>900</v>
      </c>
      <c r="O10" s="86">
        <f t="shared" si="5"/>
        <v>1900</v>
      </c>
      <c r="P10" s="86">
        <f t="shared" si="9"/>
        <v>1900</v>
      </c>
      <c r="Q10" s="86">
        <f t="shared" si="10"/>
        <v>285</v>
      </c>
      <c r="R10" s="86">
        <f t="shared" si="11"/>
        <v>1615</v>
      </c>
      <c r="T10" s="86">
        <f t="shared" si="6"/>
        <v>1125</v>
      </c>
      <c r="U10" s="86">
        <f t="shared" si="12"/>
        <v>1125</v>
      </c>
      <c r="V10" s="86">
        <f t="shared" si="13"/>
        <v>168.75</v>
      </c>
      <c r="W10" s="86">
        <f t="shared" si="14"/>
        <v>956.25</v>
      </c>
      <c r="X10" s="88">
        <f t="shared" si="15"/>
        <v>0</v>
      </c>
      <c r="Y10" s="86">
        <f t="shared" si="16"/>
        <v>15000</v>
      </c>
      <c r="Z10" s="86">
        <f t="shared" si="17"/>
        <v>15000</v>
      </c>
      <c r="AA10" s="86">
        <f t="shared" si="18"/>
        <v>2250</v>
      </c>
      <c r="AB10" s="86">
        <f t="shared" si="19"/>
        <v>12750</v>
      </c>
    </row>
    <row r="11" spans="1:28" x14ac:dyDescent="0.3">
      <c r="A11" s="148">
        <v>4</v>
      </c>
      <c r="B11" s="153" t="s">
        <v>41</v>
      </c>
      <c r="C11" s="149">
        <v>15000</v>
      </c>
      <c r="D11" s="149">
        <v>5</v>
      </c>
      <c r="E11" s="149">
        <v>15</v>
      </c>
      <c r="F11" s="149">
        <v>3000</v>
      </c>
      <c r="G11" s="149">
        <f t="shared" si="2"/>
        <v>450</v>
      </c>
      <c r="H11" s="231" t="str">
        <f t="shared" ref="H11:H37" si="20">IF(D11&gt;E11,"!?!","")</f>
        <v/>
      </c>
      <c r="I11" s="196">
        <v>0.5</v>
      </c>
      <c r="J11" s="196">
        <v>0</v>
      </c>
      <c r="K11" s="196">
        <f t="shared" si="7"/>
        <v>1</v>
      </c>
      <c r="L11" s="235">
        <f t="shared" si="8"/>
        <v>0</v>
      </c>
      <c r="M11" s="86">
        <f t="shared" si="3"/>
        <v>800</v>
      </c>
      <c r="N11" s="86">
        <f t="shared" si="4"/>
        <v>360</v>
      </c>
      <c r="O11" s="86">
        <f t="shared" si="5"/>
        <v>1160</v>
      </c>
      <c r="P11" s="86">
        <f t="shared" si="9"/>
        <v>580</v>
      </c>
      <c r="Q11" s="86">
        <f t="shared" si="10"/>
        <v>0</v>
      </c>
      <c r="R11" s="86">
        <f t="shared" si="11"/>
        <v>580</v>
      </c>
      <c r="T11" s="86">
        <f t="shared" si="6"/>
        <v>450</v>
      </c>
      <c r="U11" s="86">
        <f t="shared" si="12"/>
        <v>225</v>
      </c>
      <c r="V11" s="86">
        <f t="shared" si="13"/>
        <v>0</v>
      </c>
      <c r="W11" s="86">
        <f t="shared" si="14"/>
        <v>225</v>
      </c>
      <c r="X11" s="88">
        <f t="shared" si="15"/>
        <v>0</v>
      </c>
      <c r="Y11" s="86">
        <f t="shared" si="16"/>
        <v>11000</v>
      </c>
      <c r="Z11" s="86">
        <f t="shared" si="17"/>
        <v>5500</v>
      </c>
      <c r="AA11" s="86">
        <f t="shared" si="18"/>
        <v>0</v>
      </c>
      <c r="AB11" s="86">
        <f t="shared" si="19"/>
        <v>5500</v>
      </c>
    </row>
    <row r="12" spans="1:28" x14ac:dyDescent="0.3">
      <c r="A12" s="148">
        <v>5</v>
      </c>
      <c r="B12" s="153" t="s">
        <v>42</v>
      </c>
      <c r="C12" s="149">
        <v>20000</v>
      </c>
      <c r="D12" s="149">
        <v>8</v>
      </c>
      <c r="E12" s="149">
        <v>15</v>
      </c>
      <c r="F12" s="149">
        <v>2000</v>
      </c>
      <c r="G12" s="149">
        <f>(C12+F12)/2*$G$6</f>
        <v>550</v>
      </c>
      <c r="H12" s="231" t="str">
        <f t="shared" si="20"/>
        <v/>
      </c>
      <c r="I12" s="196">
        <v>0.5</v>
      </c>
      <c r="J12" s="196">
        <v>0</v>
      </c>
      <c r="K12" s="196">
        <f t="shared" si="7"/>
        <v>1</v>
      </c>
      <c r="L12" s="235">
        <f t="shared" si="8"/>
        <v>0</v>
      </c>
      <c r="M12" s="86">
        <f t="shared" si="3"/>
        <v>1200</v>
      </c>
      <c r="N12" s="86">
        <f t="shared" si="4"/>
        <v>440</v>
      </c>
      <c r="O12" s="86">
        <f t="shared" si="5"/>
        <v>1640</v>
      </c>
      <c r="P12" s="86">
        <f t="shared" si="9"/>
        <v>820</v>
      </c>
      <c r="Q12" s="86">
        <f t="shared" si="10"/>
        <v>0</v>
      </c>
      <c r="R12" s="86">
        <f t="shared" si="11"/>
        <v>820</v>
      </c>
      <c r="T12" s="86">
        <f t="shared" si="6"/>
        <v>550</v>
      </c>
      <c r="U12" s="86">
        <f t="shared" si="12"/>
        <v>275</v>
      </c>
      <c r="V12" s="86">
        <f t="shared" si="13"/>
        <v>0</v>
      </c>
      <c r="W12" s="86">
        <f t="shared" si="14"/>
        <v>275</v>
      </c>
      <c r="X12" s="88">
        <f t="shared" si="15"/>
        <v>0</v>
      </c>
      <c r="Y12" s="86">
        <f t="shared" si="16"/>
        <v>10400</v>
      </c>
      <c r="Z12" s="86">
        <f t="shared" si="17"/>
        <v>5200</v>
      </c>
      <c r="AA12" s="86">
        <f t="shared" si="18"/>
        <v>0</v>
      </c>
      <c r="AB12" s="86">
        <f t="shared" si="19"/>
        <v>5200</v>
      </c>
    </row>
    <row r="13" spans="1:28" x14ac:dyDescent="0.3">
      <c r="A13" s="148">
        <v>6</v>
      </c>
      <c r="B13" s="153" t="s">
        <v>43</v>
      </c>
      <c r="C13" s="149">
        <v>35000</v>
      </c>
      <c r="D13" s="149">
        <v>10</v>
      </c>
      <c r="E13" s="149">
        <v>15</v>
      </c>
      <c r="F13" s="149">
        <v>3000</v>
      </c>
      <c r="G13" s="149">
        <f t="shared" si="2"/>
        <v>950</v>
      </c>
      <c r="H13" s="231" t="str">
        <f t="shared" si="20"/>
        <v/>
      </c>
      <c r="I13" s="196">
        <v>0.5</v>
      </c>
      <c r="J13" s="196">
        <v>0</v>
      </c>
      <c r="K13" s="196">
        <f t="shared" si="7"/>
        <v>1</v>
      </c>
      <c r="L13" s="235">
        <f t="shared" si="8"/>
        <v>0</v>
      </c>
      <c r="M13" s="86">
        <f t="shared" si="3"/>
        <v>2133.3333333333335</v>
      </c>
      <c r="N13" s="86">
        <f t="shared" si="4"/>
        <v>760</v>
      </c>
      <c r="O13" s="86">
        <f t="shared" si="5"/>
        <v>2893.3333333333335</v>
      </c>
      <c r="P13" s="86">
        <f t="shared" si="9"/>
        <v>1446.6666666666667</v>
      </c>
      <c r="Q13" s="86">
        <f t="shared" si="10"/>
        <v>0</v>
      </c>
      <c r="R13" s="86">
        <f t="shared" si="11"/>
        <v>1446.6666666666667</v>
      </c>
      <c r="T13" s="86">
        <f t="shared" si="6"/>
        <v>950</v>
      </c>
      <c r="U13" s="86">
        <f t="shared" si="12"/>
        <v>475</v>
      </c>
      <c r="V13" s="86">
        <f t="shared" si="13"/>
        <v>0</v>
      </c>
      <c r="W13" s="86">
        <f t="shared" si="14"/>
        <v>475</v>
      </c>
      <c r="X13" s="88">
        <f t="shared" si="15"/>
        <v>0</v>
      </c>
      <c r="Y13" s="86">
        <f t="shared" si="16"/>
        <v>13666.666666666664</v>
      </c>
      <c r="Z13" s="86">
        <f t="shared" si="17"/>
        <v>6833.3333333333321</v>
      </c>
      <c r="AA13" s="86">
        <f t="shared" si="18"/>
        <v>0</v>
      </c>
      <c r="AB13" s="86">
        <f t="shared" si="19"/>
        <v>6833.3333333333321</v>
      </c>
    </row>
    <row r="14" spans="1:28" x14ac:dyDescent="0.3">
      <c r="A14" s="148">
        <v>7</v>
      </c>
      <c r="B14" s="153" t="s">
        <v>47</v>
      </c>
      <c r="C14" s="149">
        <v>12000</v>
      </c>
      <c r="D14" s="149">
        <v>20</v>
      </c>
      <c r="E14" s="149">
        <v>30</v>
      </c>
      <c r="F14" s="149">
        <v>5000</v>
      </c>
      <c r="G14" s="149">
        <f t="shared" si="2"/>
        <v>425</v>
      </c>
      <c r="H14" s="231" t="str">
        <f t="shared" si="20"/>
        <v/>
      </c>
      <c r="I14" s="196">
        <v>0.25</v>
      </c>
      <c r="J14" s="196">
        <v>1</v>
      </c>
      <c r="K14" s="196">
        <f t="shared" si="7"/>
        <v>0</v>
      </c>
      <c r="L14" s="235">
        <f t="shared" si="8"/>
        <v>0</v>
      </c>
      <c r="M14" s="86">
        <f t="shared" si="3"/>
        <v>233.33333333333334</v>
      </c>
      <c r="N14" s="86">
        <f t="shared" si="4"/>
        <v>340</v>
      </c>
      <c r="O14" s="86">
        <f t="shared" si="5"/>
        <v>573.33333333333337</v>
      </c>
      <c r="P14" s="86">
        <f t="shared" si="9"/>
        <v>143.33333333333334</v>
      </c>
      <c r="Q14" s="86">
        <f t="shared" si="10"/>
        <v>143.33333333333334</v>
      </c>
      <c r="R14" s="86">
        <f t="shared" si="11"/>
        <v>0</v>
      </c>
      <c r="T14" s="86">
        <f t="shared" si="6"/>
        <v>425</v>
      </c>
      <c r="U14" s="86">
        <f t="shared" si="12"/>
        <v>106.25</v>
      </c>
      <c r="V14" s="86">
        <f t="shared" si="13"/>
        <v>106.25</v>
      </c>
      <c r="W14" s="86">
        <f t="shared" si="14"/>
        <v>0</v>
      </c>
      <c r="X14" s="88">
        <f t="shared" si="15"/>
        <v>0</v>
      </c>
      <c r="Y14" s="86">
        <f t="shared" si="16"/>
        <v>7333.333333333333</v>
      </c>
      <c r="Z14" s="86">
        <f t="shared" si="17"/>
        <v>1833.3333333333333</v>
      </c>
      <c r="AA14" s="86">
        <f t="shared" si="18"/>
        <v>1833.3333333333333</v>
      </c>
      <c r="AB14" s="86">
        <f t="shared" si="19"/>
        <v>0</v>
      </c>
    </row>
    <row r="15" spans="1:28" x14ac:dyDescent="0.3">
      <c r="A15" s="148">
        <v>8</v>
      </c>
      <c r="B15" s="153" t="s">
        <v>44</v>
      </c>
      <c r="C15" s="149">
        <v>15000</v>
      </c>
      <c r="D15" s="149">
        <v>5</v>
      </c>
      <c r="E15" s="149">
        <v>15</v>
      </c>
      <c r="F15" s="149">
        <v>5000</v>
      </c>
      <c r="G15" s="149">
        <f t="shared" si="2"/>
        <v>500</v>
      </c>
      <c r="H15" s="231" t="str">
        <f t="shared" si="20"/>
        <v/>
      </c>
      <c r="I15" s="196">
        <v>1</v>
      </c>
      <c r="J15" s="196">
        <v>1</v>
      </c>
      <c r="K15" s="196">
        <f t="shared" si="7"/>
        <v>0</v>
      </c>
      <c r="L15" s="235">
        <f t="shared" si="8"/>
        <v>0</v>
      </c>
      <c r="M15" s="86">
        <f t="shared" si="3"/>
        <v>666.66666666666663</v>
      </c>
      <c r="N15" s="86">
        <f t="shared" si="4"/>
        <v>400</v>
      </c>
      <c r="O15" s="86">
        <f t="shared" si="5"/>
        <v>1066.6666666666665</v>
      </c>
      <c r="P15" s="86">
        <f t="shared" si="9"/>
        <v>1066.6666666666665</v>
      </c>
      <c r="Q15" s="86">
        <f t="shared" si="10"/>
        <v>1066.6666666666665</v>
      </c>
      <c r="R15" s="86">
        <f t="shared" si="11"/>
        <v>0</v>
      </c>
      <c r="T15" s="86">
        <f t="shared" si="6"/>
        <v>500</v>
      </c>
      <c r="U15" s="86">
        <f t="shared" si="12"/>
        <v>500</v>
      </c>
      <c r="V15" s="86">
        <f t="shared" si="13"/>
        <v>500</v>
      </c>
      <c r="W15" s="86">
        <f t="shared" si="14"/>
        <v>0</v>
      </c>
      <c r="X15" s="88">
        <f t="shared" si="15"/>
        <v>0</v>
      </c>
      <c r="Y15" s="86">
        <f t="shared" si="16"/>
        <v>11666.666666666668</v>
      </c>
      <c r="Z15" s="86">
        <f t="shared" si="17"/>
        <v>11666.666666666668</v>
      </c>
      <c r="AA15" s="86">
        <f t="shared" si="18"/>
        <v>11666.666666666668</v>
      </c>
      <c r="AB15" s="86">
        <f t="shared" si="19"/>
        <v>0</v>
      </c>
    </row>
    <row r="16" spans="1:28" x14ac:dyDescent="0.3">
      <c r="A16" s="148">
        <v>9</v>
      </c>
      <c r="B16" s="153" t="s">
        <v>45</v>
      </c>
      <c r="C16" s="149">
        <v>15000</v>
      </c>
      <c r="D16" s="149">
        <v>5</v>
      </c>
      <c r="E16" s="149">
        <v>10</v>
      </c>
      <c r="F16" s="149">
        <v>5000</v>
      </c>
      <c r="G16" s="149">
        <f t="shared" si="2"/>
        <v>500</v>
      </c>
      <c r="H16" s="231" t="str">
        <f t="shared" si="20"/>
        <v/>
      </c>
      <c r="I16" s="196">
        <v>1</v>
      </c>
      <c r="J16" s="196">
        <v>1</v>
      </c>
      <c r="K16" s="196">
        <f t="shared" si="7"/>
        <v>0</v>
      </c>
      <c r="L16" s="235">
        <f t="shared" si="8"/>
        <v>0</v>
      </c>
      <c r="M16" s="86">
        <f t="shared" si="3"/>
        <v>1000</v>
      </c>
      <c r="N16" s="86">
        <f t="shared" si="4"/>
        <v>400</v>
      </c>
      <c r="O16" s="86">
        <f t="shared" si="5"/>
        <v>1400</v>
      </c>
      <c r="P16" s="86">
        <f t="shared" si="9"/>
        <v>1400</v>
      </c>
      <c r="Q16" s="86">
        <f t="shared" si="10"/>
        <v>1400</v>
      </c>
      <c r="R16" s="86">
        <f t="shared" si="11"/>
        <v>0</v>
      </c>
      <c r="T16" s="86">
        <f t="shared" si="6"/>
        <v>500</v>
      </c>
      <c r="U16" s="86">
        <f t="shared" si="12"/>
        <v>500</v>
      </c>
      <c r="V16" s="86">
        <f t="shared" si="13"/>
        <v>500</v>
      </c>
      <c r="W16" s="86">
        <f t="shared" si="14"/>
        <v>0</v>
      </c>
      <c r="X16" s="88">
        <f t="shared" si="15"/>
        <v>0</v>
      </c>
      <c r="Y16" s="86">
        <f t="shared" si="16"/>
        <v>10000</v>
      </c>
      <c r="Z16" s="86">
        <f t="shared" si="17"/>
        <v>10000</v>
      </c>
      <c r="AA16" s="86">
        <f t="shared" si="18"/>
        <v>10000</v>
      </c>
      <c r="AB16" s="86">
        <f t="shared" si="19"/>
        <v>0</v>
      </c>
    </row>
    <row r="17" spans="1:28" x14ac:dyDescent="0.3">
      <c r="A17" s="148">
        <v>10</v>
      </c>
      <c r="B17" s="153" t="s">
        <v>46</v>
      </c>
      <c r="C17" s="149">
        <v>0</v>
      </c>
      <c r="D17" s="149">
        <v>1</v>
      </c>
      <c r="E17" s="149">
        <v>1</v>
      </c>
      <c r="F17" s="149">
        <v>0</v>
      </c>
      <c r="G17" s="149">
        <f t="shared" si="2"/>
        <v>0</v>
      </c>
      <c r="H17" s="231" t="str">
        <f t="shared" si="20"/>
        <v/>
      </c>
      <c r="I17" s="196">
        <v>1</v>
      </c>
      <c r="J17" s="196">
        <v>1</v>
      </c>
      <c r="K17" s="196">
        <f t="shared" si="7"/>
        <v>0</v>
      </c>
      <c r="L17" s="235">
        <f t="shared" si="8"/>
        <v>0</v>
      </c>
      <c r="M17" s="86">
        <f t="shared" si="3"/>
        <v>0</v>
      </c>
      <c r="N17" s="86">
        <f t="shared" si="4"/>
        <v>0</v>
      </c>
      <c r="O17" s="86">
        <f t="shared" si="5"/>
        <v>0</v>
      </c>
      <c r="P17" s="86">
        <f t="shared" si="9"/>
        <v>0</v>
      </c>
      <c r="Q17" s="86">
        <f t="shared" si="10"/>
        <v>0</v>
      </c>
      <c r="R17" s="86">
        <f t="shared" si="11"/>
        <v>0</v>
      </c>
      <c r="T17" s="86">
        <f t="shared" si="6"/>
        <v>0</v>
      </c>
      <c r="U17" s="86">
        <f t="shared" si="12"/>
        <v>0</v>
      </c>
      <c r="V17" s="86">
        <f t="shared" si="13"/>
        <v>0</v>
      </c>
      <c r="W17" s="86">
        <f t="shared" si="14"/>
        <v>0</v>
      </c>
      <c r="X17" s="88">
        <f t="shared" si="15"/>
        <v>0</v>
      </c>
      <c r="Y17" s="86">
        <f t="shared" si="16"/>
        <v>0</v>
      </c>
      <c r="Z17" s="86">
        <f t="shared" si="17"/>
        <v>0</v>
      </c>
      <c r="AA17" s="86">
        <f t="shared" si="18"/>
        <v>0</v>
      </c>
      <c r="AB17" s="86">
        <f t="shared" si="19"/>
        <v>0</v>
      </c>
    </row>
    <row r="18" spans="1:28" x14ac:dyDescent="0.3">
      <c r="A18" s="148">
        <v>11</v>
      </c>
      <c r="B18" s="153" t="s">
        <v>51</v>
      </c>
      <c r="C18" s="149">
        <v>15000</v>
      </c>
      <c r="D18" s="149">
        <v>20</v>
      </c>
      <c r="E18" s="149">
        <v>25</v>
      </c>
      <c r="F18" s="149">
        <v>3000</v>
      </c>
      <c r="G18" s="149">
        <f t="shared" si="2"/>
        <v>450</v>
      </c>
      <c r="H18" s="231" t="str">
        <f t="shared" si="20"/>
        <v/>
      </c>
      <c r="I18" s="196">
        <v>1</v>
      </c>
      <c r="J18" s="196">
        <v>0.15</v>
      </c>
      <c r="K18" s="196">
        <f t="shared" si="7"/>
        <v>0.85</v>
      </c>
      <c r="L18" s="235">
        <f t="shared" si="8"/>
        <v>0</v>
      </c>
      <c r="M18" s="86">
        <f t="shared" si="3"/>
        <v>480</v>
      </c>
      <c r="N18" s="86">
        <f t="shared" si="4"/>
        <v>360</v>
      </c>
      <c r="O18" s="86">
        <f t="shared" si="5"/>
        <v>840</v>
      </c>
      <c r="P18" s="86">
        <f t="shared" si="9"/>
        <v>840</v>
      </c>
      <c r="Q18" s="86">
        <f t="shared" si="10"/>
        <v>126</v>
      </c>
      <c r="R18" s="86">
        <f t="shared" si="11"/>
        <v>714</v>
      </c>
      <c r="T18" s="86">
        <f t="shared" si="6"/>
        <v>450</v>
      </c>
      <c r="U18" s="86">
        <f t="shared" si="12"/>
        <v>450</v>
      </c>
      <c r="V18" s="86">
        <f t="shared" si="13"/>
        <v>67.5</v>
      </c>
      <c r="W18" s="86">
        <f t="shared" si="14"/>
        <v>382.5</v>
      </c>
      <c r="X18" s="88">
        <f t="shared" si="15"/>
        <v>0</v>
      </c>
      <c r="Y18" s="86">
        <f t="shared" si="16"/>
        <v>5400</v>
      </c>
      <c r="Z18" s="86">
        <f t="shared" si="17"/>
        <v>5400</v>
      </c>
      <c r="AA18" s="86">
        <f t="shared" si="18"/>
        <v>810</v>
      </c>
      <c r="AB18" s="86">
        <f t="shared" si="19"/>
        <v>4590</v>
      </c>
    </row>
    <row r="19" spans="1:28" x14ac:dyDescent="0.3">
      <c r="A19" s="148">
        <v>12</v>
      </c>
      <c r="B19" s="153" t="s">
        <v>48</v>
      </c>
      <c r="C19" s="149">
        <v>30000</v>
      </c>
      <c r="D19" s="149">
        <v>8</v>
      </c>
      <c r="E19" s="149">
        <v>15</v>
      </c>
      <c r="F19" s="149">
        <v>5000</v>
      </c>
      <c r="G19" s="149">
        <f t="shared" si="2"/>
        <v>875</v>
      </c>
      <c r="H19" s="231" t="str">
        <f t="shared" si="20"/>
        <v/>
      </c>
      <c r="I19" s="196">
        <v>1</v>
      </c>
      <c r="J19" s="196">
        <v>1</v>
      </c>
      <c r="K19" s="196">
        <f t="shared" si="7"/>
        <v>0</v>
      </c>
      <c r="L19" s="235">
        <f t="shared" si="8"/>
        <v>0</v>
      </c>
      <c r="M19" s="86">
        <f t="shared" si="3"/>
        <v>1666.6666666666667</v>
      </c>
      <c r="N19" s="86">
        <f t="shared" si="4"/>
        <v>700</v>
      </c>
      <c r="O19" s="86">
        <f t="shared" si="5"/>
        <v>2366.666666666667</v>
      </c>
      <c r="P19" s="86">
        <f t="shared" si="9"/>
        <v>2366.666666666667</v>
      </c>
      <c r="Q19" s="86">
        <f t="shared" si="10"/>
        <v>2366.666666666667</v>
      </c>
      <c r="R19" s="86">
        <f t="shared" si="11"/>
        <v>0</v>
      </c>
      <c r="T19" s="86">
        <f t="shared" si="6"/>
        <v>875</v>
      </c>
      <c r="U19" s="86">
        <f t="shared" si="12"/>
        <v>875</v>
      </c>
      <c r="V19" s="86">
        <f t="shared" si="13"/>
        <v>875</v>
      </c>
      <c r="W19" s="86">
        <f t="shared" si="14"/>
        <v>0</v>
      </c>
      <c r="X19" s="88">
        <f t="shared" si="15"/>
        <v>0</v>
      </c>
      <c r="Y19" s="86">
        <f t="shared" si="16"/>
        <v>16666.666666666664</v>
      </c>
      <c r="Z19" s="86">
        <f t="shared" si="17"/>
        <v>16666.666666666664</v>
      </c>
      <c r="AA19" s="86">
        <f t="shared" si="18"/>
        <v>16666.666666666664</v>
      </c>
      <c r="AB19" s="86">
        <f t="shared" si="19"/>
        <v>0</v>
      </c>
    </row>
    <row r="20" spans="1:28" x14ac:dyDescent="0.3">
      <c r="A20" s="148">
        <v>13</v>
      </c>
      <c r="B20" s="153" t="s">
        <v>49</v>
      </c>
      <c r="C20" s="149">
        <v>25000</v>
      </c>
      <c r="D20" s="149">
        <v>6</v>
      </c>
      <c r="E20" s="149">
        <v>15</v>
      </c>
      <c r="F20" s="149">
        <v>5000</v>
      </c>
      <c r="G20" s="149">
        <f t="shared" si="2"/>
        <v>750</v>
      </c>
      <c r="H20" s="231" t="str">
        <f t="shared" si="20"/>
        <v/>
      </c>
      <c r="I20" s="196">
        <v>0.5</v>
      </c>
      <c r="J20" s="196">
        <v>1</v>
      </c>
      <c r="K20" s="196">
        <f t="shared" si="7"/>
        <v>0</v>
      </c>
      <c r="L20" s="235">
        <f t="shared" si="8"/>
        <v>0</v>
      </c>
      <c r="M20" s="86">
        <f t="shared" si="3"/>
        <v>1333.3333333333333</v>
      </c>
      <c r="N20" s="86">
        <f t="shared" si="4"/>
        <v>600</v>
      </c>
      <c r="O20" s="86">
        <f t="shared" si="5"/>
        <v>1933.3333333333333</v>
      </c>
      <c r="P20" s="86">
        <f t="shared" si="9"/>
        <v>966.66666666666663</v>
      </c>
      <c r="Q20" s="86">
        <f t="shared" si="10"/>
        <v>966.66666666666663</v>
      </c>
      <c r="R20" s="86">
        <f t="shared" si="11"/>
        <v>0</v>
      </c>
      <c r="T20" s="86">
        <f t="shared" si="6"/>
        <v>750</v>
      </c>
      <c r="U20" s="86">
        <f t="shared" si="12"/>
        <v>375</v>
      </c>
      <c r="V20" s="86">
        <f t="shared" si="13"/>
        <v>375</v>
      </c>
      <c r="W20" s="86">
        <f t="shared" si="14"/>
        <v>0</v>
      </c>
      <c r="X20" s="88">
        <f t="shared" si="15"/>
        <v>0</v>
      </c>
      <c r="Y20" s="86">
        <f t="shared" si="16"/>
        <v>17000</v>
      </c>
      <c r="Z20" s="86">
        <f t="shared" si="17"/>
        <v>8500</v>
      </c>
      <c r="AA20" s="86">
        <f t="shared" si="18"/>
        <v>8500</v>
      </c>
      <c r="AB20" s="86">
        <f t="shared" si="19"/>
        <v>0</v>
      </c>
    </row>
    <row r="21" spans="1:28" x14ac:dyDescent="0.3">
      <c r="A21" s="148">
        <v>14</v>
      </c>
      <c r="B21" s="153" t="s">
        <v>50</v>
      </c>
      <c r="C21" s="149">
        <v>90000</v>
      </c>
      <c r="D21" s="149">
        <v>7</v>
      </c>
      <c r="E21" s="149">
        <v>10</v>
      </c>
      <c r="F21" s="149">
        <v>25000</v>
      </c>
      <c r="G21" s="149">
        <f t="shared" si="2"/>
        <v>2875</v>
      </c>
      <c r="H21" s="231" t="str">
        <f t="shared" si="20"/>
        <v/>
      </c>
      <c r="I21" s="196">
        <v>1</v>
      </c>
      <c r="J21" s="196">
        <v>1</v>
      </c>
      <c r="K21" s="196">
        <f t="shared" si="7"/>
        <v>0</v>
      </c>
      <c r="L21" s="235">
        <f t="shared" si="8"/>
        <v>0</v>
      </c>
      <c r="M21" s="86">
        <f t="shared" si="3"/>
        <v>6500</v>
      </c>
      <c r="N21" s="86">
        <f t="shared" si="4"/>
        <v>2300</v>
      </c>
      <c r="O21" s="86">
        <f t="shared" si="5"/>
        <v>8800</v>
      </c>
      <c r="P21" s="86">
        <f t="shared" si="9"/>
        <v>8800</v>
      </c>
      <c r="Q21" s="86">
        <f t="shared" si="10"/>
        <v>8800</v>
      </c>
      <c r="R21" s="86">
        <f t="shared" si="11"/>
        <v>0</v>
      </c>
      <c r="T21" s="86">
        <f t="shared" si="6"/>
        <v>2875</v>
      </c>
      <c r="U21" s="86">
        <f t="shared" si="12"/>
        <v>2875</v>
      </c>
      <c r="V21" s="86">
        <f t="shared" si="13"/>
        <v>2875</v>
      </c>
      <c r="W21" s="86">
        <f t="shared" si="14"/>
        <v>0</v>
      </c>
      <c r="X21" s="88">
        <f t="shared" si="15"/>
        <v>0</v>
      </c>
      <c r="Y21" s="86">
        <f t="shared" si="16"/>
        <v>44500</v>
      </c>
      <c r="Z21" s="86">
        <f t="shared" si="17"/>
        <v>44500</v>
      </c>
      <c r="AA21" s="86">
        <f t="shared" si="18"/>
        <v>44500</v>
      </c>
      <c r="AB21" s="86">
        <f t="shared" si="19"/>
        <v>0</v>
      </c>
    </row>
    <row r="22" spans="1:28" x14ac:dyDescent="0.3">
      <c r="A22" s="148">
        <v>15</v>
      </c>
      <c r="B22" s="153" t="s">
        <v>99</v>
      </c>
      <c r="C22" s="149">
        <v>45000</v>
      </c>
      <c r="D22" s="149">
        <v>9</v>
      </c>
      <c r="E22" s="149">
        <v>10</v>
      </c>
      <c r="F22" s="149">
        <v>10000</v>
      </c>
      <c r="G22" s="149">
        <f t="shared" si="2"/>
        <v>1375</v>
      </c>
      <c r="H22" s="231" t="str">
        <f t="shared" si="20"/>
        <v/>
      </c>
      <c r="I22" s="196">
        <v>1</v>
      </c>
      <c r="J22" s="196">
        <v>0.25</v>
      </c>
      <c r="K22" s="196">
        <f t="shared" si="7"/>
        <v>0.75</v>
      </c>
      <c r="L22" s="235">
        <f t="shared" si="8"/>
        <v>0</v>
      </c>
      <c r="M22" s="86">
        <f t="shared" si="3"/>
        <v>3500</v>
      </c>
      <c r="N22" s="86">
        <f t="shared" si="4"/>
        <v>1100</v>
      </c>
      <c r="O22" s="86">
        <f t="shared" si="5"/>
        <v>4600</v>
      </c>
      <c r="P22" s="86">
        <f t="shared" si="9"/>
        <v>4600</v>
      </c>
      <c r="Q22" s="86">
        <f t="shared" si="10"/>
        <v>1150</v>
      </c>
      <c r="R22" s="86">
        <f t="shared" si="11"/>
        <v>3450</v>
      </c>
      <c r="T22" s="86">
        <f t="shared" si="6"/>
        <v>1375</v>
      </c>
      <c r="U22" s="86">
        <f t="shared" si="12"/>
        <v>1375</v>
      </c>
      <c r="V22" s="86">
        <f t="shared" si="13"/>
        <v>343.75</v>
      </c>
      <c r="W22" s="86">
        <f t="shared" si="14"/>
        <v>1031.25</v>
      </c>
      <c r="X22" s="88">
        <f t="shared" si="15"/>
        <v>0</v>
      </c>
      <c r="Y22" s="86">
        <f t="shared" si="16"/>
        <v>13500</v>
      </c>
      <c r="Z22" s="86">
        <f t="shared" si="17"/>
        <v>13500</v>
      </c>
      <c r="AA22" s="86">
        <f t="shared" si="18"/>
        <v>3375</v>
      </c>
      <c r="AB22" s="86">
        <f t="shared" si="19"/>
        <v>10125</v>
      </c>
    </row>
    <row r="23" spans="1:28" x14ac:dyDescent="0.3">
      <c r="A23" s="148">
        <v>16</v>
      </c>
      <c r="B23" s="153" t="s">
        <v>100</v>
      </c>
      <c r="C23" s="149">
        <v>15000</v>
      </c>
      <c r="D23" s="149">
        <v>9</v>
      </c>
      <c r="E23" s="149">
        <v>15</v>
      </c>
      <c r="F23" s="149">
        <v>3000</v>
      </c>
      <c r="G23" s="149">
        <f t="shared" si="2"/>
        <v>450</v>
      </c>
      <c r="H23" s="231" t="str">
        <f t="shared" si="20"/>
        <v/>
      </c>
      <c r="I23" s="196">
        <v>1</v>
      </c>
      <c r="J23" s="196">
        <v>0.25</v>
      </c>
      <c r="K23" s="196">
        <f t="shared" si="7"/>
        <v>0.75</v>
      </c>
      <c r="L23" s="235">
        <f t="shared" si="8"/>
        <v>0</v>
      </c>
      <c r="M23" s="86">
        <f t="shared" si="3"/>
        <v>800</v>
      </c>
      <c r="N23" s="86">
        <f t="shared" si="4"/>
        <v>360</v>
      </c>
      <c r="O23" s="86">
        <f t="shared" si="5"/>
        <v>1160</v>
      </c>
      <c r="P23" s="86">
        <f t="shared" si="9"/>
        <v>1160</v>
      </c>
      <c r="Q23" s="86">
        <f t="shared" si="10"/>
        <v>290</v>
      </c>
      <c r="R23" s="86">
        <f t="shared" si="11"/>
        <v>870</v>
      </c>
      <c r="T23" s="86">
        <f t="shared" si="6"/>
        <v>450</v>
      </c>
      <c r="U23" s="86">
        <f t="shared" si="12"/>
        <v>450</v>
      </c>
      <c r="V23" s="86">
        <f t="shared" si="13"/>
        <v>112.5</v>
      </c>
      <c r="W23" s="86">
        <f t="shared" si="14"/>
        <v>337.5</v>
      </c>
      <c r="X23" s="88">
        <f t="shared" si="15"/>
        <v>0</v>
      </c>
      <c r="Y23" s="86">
        <f t="shared" si="16"/>
        <v>7800</v>
      </c>
      <c r="Z23" s="86">
        <f t="shared" si="17"/>
        <v>7800</v>
      </c>
      <c r="AA23" s="86">
        <f t="shared" si="18"/>
        <v>1950</v>
      </c>
      <c r="AB23" s="86">
        <f t="shared" si="19"/>
        <v>5850</v>
      </c>
    </row>
    <row r="24" spans="1:28" x14ac:dyDescent="0.3">
      <c r="A24" s="148">
        <v>17</v>
      </c>
      <c r="B24" s="153" t="s">
        <v>101</v>
      </c>
      <c r="C24" s="149"/>
      <c r="D24" s="149"/>
      <c r="E24" s="149">
        <v>1</v>
      </c>
      <c r="F24" s="149"/>
      <c r="G24" s="149">
        <f t="shared" si="2"/>
        <v>0</v>
      </c>
      <c r="H24" s="231" t="str">
        <f t="shared" si="20"/>
        <v/>
      </c>
      <c r="I24" s="196">
        <v>1</v>
      </c>
      <c r="J24" s="196">
        <v>1</v>
      </c>
      <c r="K24" s="196">
        <f t="shared" si="7"/>
        <v>0</v>
      </c>
      <c r="L24" s="235">
        <f t="shared" si="8"/>
        <v>0</v>
      </c>
      <c r="M24" s="86">
        <f t="shared" si="3"/>
        <v>0</v>
      </c>
      <c r="N24" s="86">
        <f t="shared" si="4"/>
        <v>0</v>
      </c>
      <c r="O24" s="86">
        <f t="shared" si="5"/>
        <v>0</v>
      </c>
      <c r="P24" s="86">
        <f t="shared" si="9"/>
        <v>0</v>
      </c>
      <c r="Q24" s="86">
        <f t="shared" si="10"/>
        <v>0</v>
      </c>
      <c r="R24" s="86">
        <f t="shared" si="11"/>
        <v>0</v>
      </c>
      <c r="T24" s="86">
        <f t="shared" si="6"/>
        <v>0</v>
      </c>
      <c r="U24" s="86">
        <f t="shared" si="12"/>
        <v>0</v>
      </c>
      <c r="V24" s="86">
        <f t="shared" si="13"/>
        <v>0</v>
      </c>
      <c r="W24" s="86">
        <f t="shared" si="14"/>
        <v>0</v>
      </c>
      <c r="X24" s="88">
        <f t="shared" si="15"/>
        <v>0</v>
      </c>
      <c r="Y24" s="86">
        <f t="shared" si="16"/>
        <v>0</v>
      </c>
      <c r="Z24" s="86">
        <f t="shared" si="17"/>
        <v>0</v>
      </c>
      <c r="AA24" s="86">
        <f t="shared" si="18"/>
        <v>0</v>
      </c>
      <c r="AB24" s="86">
        <f t="shared" si="19"/>
        <v>0</v>
      </c>
    </row>
    <row r="25" spans="1:28" x14ac:dyDescent="0.3">
      <c r="A25" s="148">
        <v>18</v>
      </c>
      <c r="B25" s="153" t="s">
        <v>101</v>
      </c>
      <c r="C25" s="149"/>
      <c r="D25" s="149"/>
      <c r="E25" s="149">
        <v>1</v>
      </c>
      <c r="F25" s="149"/>
      <c r="G25" s="149">
        <f>(C25+F25)/2*$G$6</f>
        <v>0</v>
      </c>
      <c r="H25" s="231" t="str">
        <f t="shared" si="20"/>
        <v/>
      </c>
      <c r="I25" s="196">
        <v>1</v>
      </c>
      <c r="J25" s="196">
        <v>1</v>
      </c>
      <c r="K25" s="196">
        <f t="shared" si="7"/>
        <v>0</v>
      </c>
      <c r="L25" s="235">
        <f t="shared" si="8"/>
        <v>0</v>
      </c>
      <c r="M25" s="86">
        <f t="shared" si="3"/>
        <v>0</v>
      </c>
      <c r="N25" s="86">
        <f t="shared" si="4"/>
        <v>0</v>
      </c>
      <c r="O25" s="86">
        <f t="shared" si="5"/>
        <v>0</v>
      </c>
      <c r="P25" s="86">
        <f t="shared" si="9"/>
        <v>0</v>
      </c>
      <c r="Q25" s="86">
        <f t="shared" si="10"/>
        <v>0</v>
      </c>
      <c r="R25" s="86">
        <f t="shared" si="11"/>
        <v>0</v>
      </c>
      <c r="T25" s="86">
        <f t="shared" si="6"/>
        <v>0</v>
      </c>
      <c r="U25" s="86">
        <f t="shared" si="12"/>
        <v>0</v>
      </c>
      <c r="V25" s="86">
        <f t="shared" si="13"/>
        <v>0</v>
      </c>
      <c r="W25" s="86">
        <f t="shared" si="14"/>
        <v>0</v>
      </c>
      <c r="X25" s="88">
        <f t="shared" si="15"/>
        <v>0</v>
      </c>
      <c r="Y25" s="86">
        <f t="shared" si="16"/>
        <v>0</v>
      </c>
      <c r="Z25" s="86">
        <f t="shared" si="17"/>
        <v>0</v>
      </c>
      <c r="AA25" s="86">
        <f t="shared" si="18"/>
        <v>0</v>
      </c>
      <c r="AB25" s="86">
        <f t="shared" si="19"/>
        <v>0</v>
      </c>
    </row>
    <row r="26" spans="1:28" x14ac:dyDescent="0.3">
      <c r="A26" s="148">
        <v>19</v>
      </c>
      <c r="B26" s="153" t="s">
        <v>101</v>
      </c>
      <c r="C26" s="149"/>
      <c r="D26" s="149"/>
      <c r="E26" s="149">
        <v>1</v>
      </c>
      <c r="F26" s="149"/>
      <c r="G26" s="149">
        <f t="shared" si="2"/>
        <v>0</v>
      </c>
      <c r="H26" s="231" t="str">
        <f t="shared" si="20"/>
        <v/>
      </c>
      <c r="I26" s="196">
        <v>1</v>
      </c>
      <c r="J26" s="196">
        <v>1</v>
      </c>
      <c r="K26" s="196">
        <f t="shared" si="7"/>
        <v>0</v>
      </c>
      <c r="L26" s="235">
        <f t="shared" si="8"/>
        <v>0</v>
      </c>
      <c r="M26" s="86">
        <f t="shared" si="3"/>
        <v>0</v>
      </c>
      <c r="N26" s="86">
        <f t="shared" si="4"/>
        <v>0</v>
      </c>
      <c r="O26" s="86">
        <f t="shared" si="5"/>
        <v>0</v>
      </c>
      <c r="P26" s="86">
        <f t="shared" si="9"/>
        <v>0</v>
      </c>
      <c r="Q26" s="86">
        <f t="shared" si="10"/>
        <v>0</v>
      </c>
      <c r="R26" s="86">
        <f t="shared" si="11"/>
        <v>0</v>
      </c>
      <c r="T26" s="86">
        <f t="shared" si="6"/>
        <v>0</v>
      </c>
      <c r="U26" s="86">
        <f t="shared" si="12"/>
        <v>0</v>
      </c>
      <c r="V26" s="86">
        <f t="shared" si="13"/>
        <v>0</v>
      </c>
      <c r="W26" s="86">
        <f t="shared" si="14"/>
        <v>0</v>
      </c>
      <c r="X26" s="88">
        <f t="shared" si="15"/>
        <v>0</v>
      </c>
      <c r="Y26" s="86">
        <f t="shared" si="16"/>
        <v>0</v>
      </c>
      <c r="Z26" s="86">
        <f t="shared" si="17"/>
        <v>0</v>
      </c>
      <c r="AA26" s="86">
        <f t="shared" si="18"/>
        <v>0</v>
      </c>
      <c r="AB26" s="86">
        <f t="shared" si="19"/>
        <v>0</v>
      </c>
    </row>
    <row r="27" spans="1:28" x14ac:dyDescent="0.3">
      <c r="A27" s="148">
        <v>20</v>
      </c>
      <c r="B27" s="153" t="s">
        <v>101</v>
      </c>
      <c r="C27" s="149"/>
      <c r="D27" s="149"/>
      <c r="E27" s="149">
        <v>1</v>
      </c>
      <c r="F27" s="149"/>
      <c r="G27" s="149">
        <f t="shared" si="2"/>
        <v>0</v>
      </c>
      <c r="H27" s="231" t="str">
        <f t="shared" si="20"/>
        <v/>
      </c>
      <c r="I27" s="196">
        <v>1</v>
      </c>
      <c r="J27" s="196">
        <v>1</v>
      </c>
      <c r="K27" s="196">
        <f t="shared" si="7"/>
        <v>0</v>
      </c>
      <c r="L27" s="235">
        <f t="shared" si="8"/>
        <v>0</v>
      </c>
      <c r="M27" s="86">
        <f t="shared" si="3"/>
        <v>0</v>
      </c>
      <c r="N27" s="86">
        <f t="shared" si="4"/>
        <v>0</v>
      </c>
      <c r="O27" s="86">
        <f t="shared" si="5"/>
        <v>0</v>
      </c>
      <c r="P27" s="86">
        <f t="shared" si="9"/>
        <v>0</v>
      </c>
      <c r="Q27" s="86">
        <f t="shared" si="10"/>
        <v>0</v>
      </c>
      <c r="R27" s="86">
        <f t="shared" si="11"/>
        <v>0</v>
      </c>
      <c r="T27" s="86">
        <f t="shared" si="6"/>
        <v>0</v>
      </c>
      <c r="U27" s="86">
        <f t="shared" si="12"/>
        <v>0</v>
      </c>
      <c r="V27" s="86">
        <f t="shared" si="13"/>
        <v>0</v>
      </c>
      <c r="W27" s="86">
        <f t="shared" si="14"/>
        <v>0</v>
      </c>
      <c r="X27" s="88">
        <f t="shared" si="15"/>
        <v>0</v>
      </c>
      <c r="Y27" s="86">
        <f t="shared" si="16"/>
        <v>0</v>
      </c>
      <c r="Z27" s="86">
        <f t="shared" si="17"/>
        <v>0</v>
      </c>
      <c r="AA27" s="86">
        <f t="shared" si="18"/>
        <v>0</v>
      </c>
      <c r="AB27" s="86">
        <f t="shared" si="19"/>
        <v>0</v>
      </c>
    </row>
    <row r="28" spans="1:28" x14ac:dyDescent="0.3">
      <c r="A28" s="148">
        <v>21</v>
      </c>
      <c r="B28" s="153" t="s">
        <v>101</v>
      </c>
      <c r="C28" s="149"/>
      <c r="D28" s="149"/>
      <c r="E28" s="149">
        <v>1</v>
      </c>
      <c r="F28" s="149"/>
      <c r="G28" s="149">
        <f t="shared" si="2"/>
        <v>0</v>
      </c>
      <c r="H28" s="231" t="str">
        <f t="shared" si="20"/>
        <v/>
      </c>
      <c r="I28" s="196">
        <v>1</v>
      </c>
      <c r="J28" s="196">
        <v>1</v>
      </c>
      <c r="K28" s="196">
        <f t="shared" si="7"/>
        <v>0</v>
      </c>
      <c r="L28" s="235">
        <f t="shared" si="8"/>
        <v>0</v>
      </c>
      <c r="M28" s="86">
        <f t="shared" si="3"/>
        <v>0</v>
      </c>
      <c r="N28" s="86">
        <f t="shared" si="4"/>
        <v>0</v>
      </c>
      <c r="O28" s="86">
        <f t="shared" si="5"/>
        <v>0</v>
      </c>
      <c r="P28" s="86">
        <f t="shared" si="9"/>
        <v>0</v>
      </c>
      <c r="Q28" s="86">
        <f t="shared" si="10"/>
        <v>0</v>
      </c>
      <c r="R28" s="86">
        <f t="shared" si="11"/>
        <v>0</v>
      </c>
      <c r="T28" s="86">
        <f t="shared" si="6"/>
        <v>0</v>
      </c>
      <c r="U28" s="86">
        <f t="shared" si="12"/>
        <v>0</v>
      </c>
      <c r="V28" s="86">
        <f t="shared" si="13"/>
        <v>0</v>
      </c>
      <c r="W28" s="86">
        <f t="shared" si="14"/>
        <v>0</v>
      </c>
      <c r="X28" s="88">
        <f t="shared" si="15"/>
        <v>0</v>
      </c>
      <c r="Y28" s="86">
        <f t="shared" si="16"/>
        <v>0</v>
      </c>
      <c r="Z28" s="86">
        <f t="shared" si="17"/>
        <v>0</v>
      </c>
      <c r="AA28" s="86">
        <f t="shared" si="18"/>
        <v>0</v>
      </c>
      <c r="AB28" s="86">
        <f t="shared" si="19"/>
        <v>0</v>
      </c>
    </row>
    <row r="29" spans="1:28" x14ac:dyDescent="0.3">
      <c r="A29" s="148">
        <v>22</v>
      </c>
      <c r="B29" s="153" t="s">
        <v>101</v>
      </c>
      <c r="C29" s="149"/>
      <c r="D29" s="149"/>
      <c r="E29" s="149">
        <v>1</v>
      </c>
      <c r="F29" s="149"/>
      <c r="G29" s="149">
        <f t="shared" si="2"/>
        <v>0</v>
      </c>
      <c r="H29" s="231" t="str">
        <f t="shared" si="20"/>
        <v/>
      </c>
      <c r="I29" s="196">
        <v>1</v>
      </c>
      <c r="J29" s="196">
        <v>1</v>
      </c>
      <c r="K29" s="196">
        <f t="shared" si="7"/>
        <v>0</v>
      </c>
      <c r="L29" s="235">
        <f t="shared" si="8"/>
        <v>0</v>
      </c>
      <c r="M29" s="86">
        <f t="shared" si="3"/>
        <v>0</v>
      </c>
      <c r="N29" s="86">
        <f t="shared" si="4"/>
        <v>0</v>
      </c>
      <c r="O29" s="86">
        <f t="shared" si="5"/>
        <v>0</v>
      </c>
      <c r="P29" s="86">
        <f t="shared" si="9"/>
        <v>0</v>
      </c>
      <c r="Q29" s="86">
        <f t="shared" si="10"/>
        <v>0</v>
      </c>
      <c r="R29" s="86">
        <f t="shared" si="11"/>
        <v>0</v>
      </c>
      <c r="T29" s="86">
        <f t="shared" si="6"/>
        <v>0</v>
      </c>
      <c r="U29" s="86">
        <f t="shared" si="12"/>
        <v>0</v>
      </c>
      <c r="V29" s="86">
        <f t="shared" si="13"/>
        <v>0</v>
      </c>
      <c r="W29" s="86">
        <f t="shared" si="14"/>
        <v>0</v>
      </c>
      <c r="X29" s="88">
        <f t="shared" si="15"/>
        <v>0</v>
      </c>
      <c r="Y29" s="86">
        <f t="shared" si="16"/>
        <v>0</v>
      </c>
      <c r="Z29" s="86">
        <f t="shared" si="17"/>
        <v>0</v>
      </c>
      <c r="AA29" s="86">
        <f t="shared" si="18"/>
        <v>0</v>
      </c>
      <c r="AB29" s="86">
        <f t="shared" si="19"/>
        <v>0</v>
      </c>
    </row>
    <row r="30" spans="1:28" x14ac:dyDescent="0.3">
      <c r="A30" s="148">
        <v>23</v>
      </c>
      <c r="B30" s="153" t="s">
        <v>101</v>
      </c>
      <c r="C30" s="149"/>
      <c r="D30" s="149"/>
      <c r="E30" s="149">
        <v>1</v>
      </c>
      <c r="F30" s="149"/>
      <c r="G30" s="149">
        <f t="shared" si="2"/>
        <v>0</v>
      </c>
      <c r="H30" s="231" t="str">
        <f t="shared" si="20"/>
        <v/>
      </c>
      <c r="I30" s="196">
        <v>1</v>
      </c>
      <c r="J30" s="196">
        <v>1</v>
      </c>
      <c r="K30" s="196">
        <f t="shared" si="7"/>
        <v>0</v>
      </c>
      <c r="L30" s="235">
        <f t="shared" si="8"/>
        <v>0</v>
      </c>
      <c r="M30" s="86">
        <f t="shared" si="3"/>
        <v>0</v>
      </c>
      <c r="N30" s="86">
        <f t="shared" si="4"/>
        <v>0</v>
      </c>
      <c r="O30" s="86">
        <f t="shared" si="5"/>
        <v>0</v>
      </c>
      <c r="P30" s="86">
        <f t="shared" si="9"/>
        <v>0</v>
      </c>
      <c r="Q30" s="86">
        <f t="shared" si="10"/>
        <v>0</v>
      </c>
      <c r="R30" s="86">
        <f t="shared" si="11"/>
        <v>0</v>
      </c>
      <c r="T30" s="86">
        <f t="shared" si="6"/>
        <v>0</v>
      </c>
      <c r="U30" s="86">
        <f t="shared" si="12"/>
        <v>0</v>
      </c>
      <c r="V30" s="86">
        <f t="shared" si="13"/>
        <v>0</v>
      </c>
      <c r="W30" s="86">
        <f t="shared" si="14"/>
        <v>0</v>
      </c>
      <c r="X30" s="88">
        <f t="shared" si="15"/>
        <v>0</v>
      </c>
      <c r="Y30" s="86">
        <f t="shared" si="16"/>
        <v>0</v>
      </c>
      <c r="Z30" s="86">
        <f t="shared" si="17"/>
        <v>0</v>
      </c>
      <c r="AA30" s="86">
        <f t="shared" si="18"/>
        <v>0</v>
      </c>
      <c r="AB30" s="86">
        <f t="shared" si="19"/>
        <v>0</v>
      </c>
    </row>
    <row r="31" spans="1:28" x14ac:dyDescent="0.3">
      <c r="A31" s="148">
        <v>24</v>
      </c>
      <c r="B31" s="153" t="s">
        <v>101</v>
      </c>
      <c r="C31" s="149"/>
      <c r="D31" s="149"/>
      <c r="E31" s="149">
        <v>1</v>
      </c>
      <c r="F31" s="149"/>
      <c r="G31" s="149">
        <f t="shared" si="2"/>
        <v>0</v>
      </c>
      <c r="H31" s="231" t="str">
        <f t="shared" si="20"/>
        <v/>
      </c>
      <c r="I31" s="196">
        <v>1</v>
      </c>
      <c r="J31" s="196">
        <v>1</v>
      </c>
      <c r="K31" s="196">
        <f t="shared" si="7"/>
        <v>0</v>
      </c>
      <c r="L31" s="235">
        <f t="shared" si="8"/>
        <v>0</v>
      </c>
      <c r="M31" s="86">
        <f t="shared" si="3"/>
        <v>0</v>
      </c>
      <c r="N31" s="86">
        <f t="shared" si="4"/>
        <v>0</v>
      </c>
      <c r="O31" s="86">
        <f t="shared" si="5"/>
        <v>0</v>
      </c>
      <c r="P31" s="86">
        <f t="shared" si="9"/>
        <v>0</v>
      </c>
      <c r="Q31" s="86">
        <f t="shared" si="10"/>
        <v>0</v>
      </c>
      <c r="R31" s="86">
        <f t="shared" si="11"/>
        <v>0</v>
      </c>
      <c r="T31" s="86">
        <f t="shared" si="6"/>
        <v>0</v>
      </c>
      <c r="U31" s="86">
        <f t="shared" si="12"/>
        <v>0</v>
      </c>
      <c r="V31" s="86">
        <f t="shared" si="13"/>
        <v>0</v>
      </c>
      <c r="W31" s="86">
        <f t="shared" si="14"/>
        <v>0</v>
      </c>
      <c r="X31" s="88">
        <f t="shared" si="15"/>
        <v>0</v>
      </c>
      <c r="Y31" s="86">
        <f t="shared" si="16"/>
        <v>0</v>
      </c>
      <c r="Z31" s="86">
        <f t="shared" si="17"/>
        <v>0</v>
      </c>
      <c r="AA31" s="86">
        <f t="shared" si="18"/>
        <v>0</v>
      </c>
      <c r="AB31" s="86">
        <f t="shared" si="19"/>
        <v>0</v>
      </c>
    </row>
    <row r="32" spans="1:28" x14ac:dyDescent="0.3">
      <c r="A32" s="148">
        <v>25</v>
      </c>
      <c r="B32" s="153" t="s">
        <v>101</v>
      </c>
      <c r="C32" s="149"/>
      <c r="D32" s="149"/>
      <c r="E32" s="149">
        <v>1</v>
      </c>
      <c r="F32" s="149"/>
      <c r="G32" s="149">
        <f t="shared" si="2"/>
        <v>0</v>
      </c>
      <c r="H32" s="231" t="str">
        <f t="shared" si="20"/>
        <v/>
      </c>
      <c r="I32" s="196">
        <v>1</v>
      </c>
      <c r="J32" s="196">
        <v>1</v>
      </c>
      <c r="K32" s="196">
        <f t="shared" si="7"/>
        <v>0</v>
      </c>
      <c r="L32" s="235">
        <f t="shared" si="8"/>
        <v>0</v>
      </c>
      <c r="M32" s="86">
        <f t="shared" si="3"/>
        <v>0</v>
      </c>
      <c r="N32" s="86">
        <f t="shared" si="4"/>
        <v>0</v>
      </c>
      <c r="O32" s="86">
        <f t="shared" si="5"/>
        <v>0</v>
      </c>
      <c r="P32" s="86">
        <f t="shared" si="9"/>
        <v>0</v>
      </c>
      <c r="Q32" s="86">
        <f t="shared" si="10"/>
        <v>0</v>
      </c>
      <c r="R32" s="86">
        <f t="shared" si="11"/>
        <v>0</v>
      </c>
      <c r="T32" s="86">
        <f t="shared" si="6"/>
        <v>0</v>
      </c>
      <c r="U32" s="86">
        <f t="shared" si="12"/>
        <v>0</v>
      </c>
      <c r="V32" s="86">
        <f t="shared" si="13"/>
        <v>0</v>
      </c>
      <c r="W32" s="86">
        <f t="shared" si="14"/>
        <v>0</v>
      </c>
      <c r="X32" s="88">
        <f t="shared" si="15"/>
        <v>0</v>
      </c>
      <c r="Y32" s="86">
        <f t="shared" si="16"/>
        <v>0</v>
      </c>
      <c r="Z32" s="86">
        <f t="shared" si="17"/>
        <v>0</v>
      </c>
      <c r="AA32" s="86">
        <f t="shared" si="18"/>
        <v>0</v>
      </c>
      <c r="AB32" s="86">
        <f t="shared" si="19"/>
        <v>0</v>
      </c>
    </row>
    <row r="33" spans="1:28" x14ac:dyDescent="0.3">
      <c r="A33" s="148">
        <v>26</v>
      </c>
      <c r="B33" s="153" t="s">
        <v>101</v>
      </c>
      <c r="C33" s="149"/>
      <c r="D33" s="149"/>
      <c r="E33" s="149">
        <v>1</v>
      </c>
      <c r="F33" s="149"/>
      <c r="G33" s="149">
        <f t="shared" si="2"/>
        <v>0</v>
      </c>
      <c r="H33" s="231" t="str">
        <f t="shared" si="20"/>
        <v/>
      </c>
      <c r="I33" s="196">
        <v>1</v>
      </c>
      <c r="J33" s="196">
        <v>1</v>
      </c>
      <c r="K33" s="196">
        <f t="shared" si="7"/>
        <v>0</v>
      </c>
      <c r="L33" s="235">
        <f t="shared" si="8"/>
        <v>0</v>
      </c>
      <c r="M33" s="86">
        <f t="shared" si="3"/>
        <v>0</v>
      </c>
      <c r="N33" s="86">
        <f t="shared" si="4"/>
        <v>0</v>
      </c>
      <c r="O33" s="86">
        <f t="shared" si="5"/>
        <v>0</v>
      </c>
      <c r="P33" s="86">
        <f t="shared" si="9"/>
        <v>0</v>
      </c>
      <c r="Q33" s="86">
        <f t="shared" si="10"/>
        <v>0</v>
      </c>
      <c r="R33" s="86">
        <f t="shared" si="11"/>
        <v>0</v>
      </c>
      <c r="T33" s="86">
        <f t="shared" si="6"/>
        <v>0</v>
      </c>
      <c r="U33" s="86">
        <f t="shared" si="12"/>
        <v>0</v>
      </c>
      <c r="V33" s="86">
        <f t="shared" si="13"/>
        <v>0</v>
      </c>
      <c r="W33" s="86">
        <f t="shared" si="14"/>
        <v>0</v>
      </c>
      <c r="X33" s="88">
        <f t="shared" si="15"/>
        <v>0</v>
      </c>
      <c r="Y33" s="86">
        <f t="shared" si="16"/>
        <v>0</v>
      </c>
      <c r="Z33" s="86">
        <f t="shared" si="17"/>
        <v>0</v>
      </c>
      <c r="AA33" s="86">
        <f t="shared" si="18"/>
        <v>0</v>
      </c>
      <c r="AB33" s="86">
        <f t="shared" si="19"/>
        <v>0</v>
      </c>
    </row>
    <row r="34" spans="1:28" x14ac:dyDescent="0.3">
      <c r="A34" s="148">
        <v>27</v>
      </c>
      <c r="B34" s="153" t="s">
        <v>101</v>
      </c>
      <c r="C34" s="153"/>
      <c r="D34" s="153"/>
      <c r="E34" s="149">
        <v>1</v>
      </c>
      <c r="F34" s="153"/>
      <c r="G34" s="149">
        <f t="shared" si="2"/>
        <v>0</v>
      </c>
      <c r="H34" s="231" t="str">
        <f t="shared" si="20"/>
        <v/>
      </c>
      <c r="I34" s="196">
        <v>1</v>
      </c>
      <c r="J34" s="196">
        <v>1</v>
      </c>
      <c r="K34" s="196">
        <f t="shared" si="7"/>
        <v>0</v>
      </c>
      <c r="L34" s="235">
        <f t="shared" si="8"/>
        <v>0</v>
      </c>
      <c r="M34" s="86">
        <f t="shared" si="3"/>
        <v>0</v>
      </c>
      <c r="N34" s="86">
        <f t="shared" si="4"/>
        <v>0</v>
      </c>
      <c r="O34" s="86">
        <f t="shared" si="5"/>
        <v>0</v>
      </c>
      <c r="P34" s="86">
        <f t="shared" si="9"/>
        <v>0</v>
      </c>
      <c r="Q34" s="86">
        <f t="shared" si="10"/>
        <v>0</v>
      </c>
      <c r="R34" s="86">
        <f t="shared" si="11"/>
        <v>0</v>
      </c>
      <c r="T34" s="86">
        <f t="shared" si="6"/>
        <v>0</v>
      </c>
      <c r="U34" s="86">
        <f t="shared" si="12"/>
        <v>0</v>
      </c>
      <c r="V34" s="86">
        <f t="shared" si="13"/>
        <v>0</v>
      </c>
      <c r="W34" s="86">
        <f t="shared" si="14"/>
        <v>0</v>
      </c>
      <c r="X34" s="88">
        <f t="shared" si="15"/>
        <v>0</v>
      </c>
      <c r="Y34" s="86">
        <f t="shared" si="16"/>
        <v>0</v>
      </c>
      <c r="Z34" s="86">
        <f t="shared" si="17"/>
        <v>0</v>
      </c>
      <c r="AA34" s="86">
        <f t="shared" si="18"/>
        <v>0</v>
      </c>
      <c r="AB34" s="86">
        <f t="shared" si="19"/>
        <v>0</v>
      </c>
    </row>
    <row r="35" spans="1:28" x14ac:dyDescent="0.3">
      <c r="A35" s="148">
        <v>28</v>
      </c>
      <c r="B35" s="153" t="s">
        <v>101</v>
      </c>
      <c r="C35" s="148"/>
      <c r="D35" s="148"/>
      <c r="E35" s="149">
        <v>1</v>
      </c>
      <c r="F35" s="148"/>
      <c r="G35" s="149">
        <f t="shared" si="2"/>
        <v>0</v>
      </c>
      <c r="H35" s="231" t="str">
        <f t="shared" si="20"/>
        <v/>
      </c>
      <c r="I35" s="196">
        <v>1</v>
      </c>
      <c r="J35" s="196">
        <v>1</v>
      </c>
      <c r="K35" s="196">
        <f t="shared" si="7"/>
        <v>0</v>
      </c>
      <c r="L35" s="235">
        <f t="shared" si="8"/>
        <v>0</v>
      </c>
      <c r="M35" s="86">
        <f t="shared" si="3"/>
        <v>0</v>
      </c>
      <c r="N35" s="86">
        <f t="shared" si="4"/>
        <v>0</v>
      </c>
      <c r="O35" s="86">
        <f t="shared" si="5"/>
        <v>0</v>
      </c>
      <c r="P35" s="86">
        <f t="shared" si="9"/>
        <v>0</v>
      </c>
      <c r="Q35" s="86">
        <f t="shared" si="10"/>
        <v>0</v>
      </c>
      <c r="R35" s="86">
        <f t="shared" si="11"/>
        <v>0</v>
      </c>
      <c r="T35" s="86">
        <f t="shared" si="6"/>
        <v>0</v>
      </c>
      <c r="U35" s="86">
        <f t="shared" si="12"/>
        <v>0</v>
      </c>
      <c r="V35" s="86">
        <f t="shared" si="13"/>
        <v>0</v>
      </c>
      <c r="W35" s="86">
        <f t="shared" si="14"/>
        <v>0</v>
      </c>
      <c r="X35" s="88">
        <f t="shared" si="15"/>
        <v>0</v>
      </c>
      <c r="Y35" s="86">
        <f t="shared" si="16"/>
        <v>0</v>
      </c>
      <c r="Z35" s="86">
        <f t="shared" si="17"/>
        <v>0</v>
      </c>
      <c r="AA35" s="86">
        <f t="shared" si="18"/>
        <v>0</v>
      </c>
      <c r="AB35" s="86">
        <f t="shared" si="19"/>
        <v>0</v>
      </c>
    </row>
    <row r="36" spans="1:28" x14ac:dyDescent="0.3">
      <c r="A36" s="148">
        <v>29</v>
      </c>
      <c r="B36" s="153" t="s">
        <v>101</v>
      </c>
      <c r="C36" s="148"/>
      <c r="D36" s="148"/>
      <c r="E36" s="149">
        <v>1</v>
      </c>
      <c r="F36" s="148"/>
      <c r="G36" s="149">
        <f t="shared" si="2"/>
        <v>0</v>
      </c>
      <c r="H36" s="231" t="str">
        <f t="shared" si="20"/>
        <v/>
      </c>
      <c r="I36" s="196">
        <v>1</v>
      </c>
      <c r="J36" s="196">
        <v>1</v>
      </c>
      <c r="K36" s="196">
        <f t="shared" si="7"/>
        <v>0</v>
      </c>
      <c r="L36" s="235">
        <f t="shared" si="8"/>
        <v>0</v>
      </c>
      <c r="M36" s="86">
        <f t="shared" si="3"/>
        <v>0</v>
      </c>
      <c r="N36" s="86">
        <f t="shared" si="4"/>
        <v>0</v>
      </c>
      <c r="O36" s="86">
        <f t="shared" si="5"/>
        <v>0</v>
      </c>
      <c r="P36" s="86">
        <f t="shared" si="9"/>
        <v>0</v>
      </c>
      <c r="Q36" s="86">
        <f t="shared" si="10"/>
        <v>0</v>
      </c>
      <c r="R36" s="86">
        <f t="shared" si="11"/>
        <v>0</v>
      </c>
      <c r="T36" s="86">
        <f t="shared" si="6"/>
        <v>0</v>
      </c>
      <c r="U36" s="86">
        <f t="shared" si="12"/>
        <v>0</v>
      </c>
      <c r="V36" s="86">
        <f t="shared" si="13"/>
        <v>0</v>
      </c>
      <c r="W36" s="86">
        <f t="shared" si="14"/>
        <v>0</v>
      </c>
      <c r="X36" s="88">
        <f t="shared" si="15"/>
        <v>0</v>
      </c>
      <c r="Y36" s="86">
        <f t="shared" si="16"/>
        <v>0</v>
      </c>
      <c r="Z36" s="86">
        <f t="shared" si="17"/>
        <v>0</v>
      </c>
      <c r="AA36" s="86">
        <f t="shared" si="18"/>
        <v>0</v>
      </c>
      <c r="AB36" s="86">
        <f t="shared" si="19"/>
        <v>0</v>
      </c>
    </row>
    <row r="37" spans="1:28" x14ac:dyDescent="0.3">
      <c r="A37" s="148">
        <v>30</v>
      </c>
      <c r="B37" s="153" t="s">
        <v>101</v>
      </c>
      <c r="C37" s="148"/>
      <c r="D37" s="148"/>
      <c r="E37" s="149">
        <v>1</v>
      </c>
      <c r="F37" s="148"/>
      <c r="G37" s="149">
        <f t="shared" si="2"/>
        <v>0</v>
      </c>
      <c r="H37" s="231" t="str">
        <f t="shared" si="20"/>
        <v/>
      </c>
      <c r="I37" s="196">
        <v>1</v>
      </c>
      <c r="J37" s="196">
        <v>1</v>
      </c>
      <c r="K37" s="196">
        <f t="shared" si="7"/>
        <v>0</v>
      </c>
      <c r="L37" s="235">
        <f t="shared" si="8"/>
        <v>0</v>
      </c>
      <c r="M37" s="86">
        <f t="shared" si="3"/>
        <v>0</v>
      </c>
      <c r="N37" s="86">
        <f t="shared" si="4"/>
        <v>0</v>
      </c>
      <c r="O37" s="86">
        <f t="shared" si="5"/>
        <v>0</v>
      </c>
      <c r="P37" s="86">
        <f t="shared" si="9"/>
        <v>0</v>
      </c>
      <c r="Q37" s="86">
        <f t="shared" si="10"/>
        <v>0</v>
      </c>
      <c r="R37" s="86">
        <f t="shared" si="11"/>
        <v>0</v>
      </c>
      <c r="T37" s="86">
        <f t="shared" si="6"/>
        <v>0</v>
      </c>
      <c r="U37" s="86">
        <f t="shared" si="12"/>
        <v>0</v>
      </c>
      <c r="V37" s="86">
        <f t="shared" si="13"/>
        <v>0</v>
      </c>
      <c r="W37" s="86">
        <f t="shared" si="14"/>
        <v>0</v>
      </c>
      <c r="X37" s="88">
        <f t="shared" si="15"/>
        <v>0</v>
      </c>
      <c r="Y37" s="86">
        <f t="shared" si="16"/>
        <v>0</v>
      </c>
      <c r="Z37" s="86">
        <f t="shared" si="17"/>
        <v>0</v>
      </c>
      <c r="AA37" s="86">
        <f t="shared" si="18"/>
        <v>0</v>
      </c>
      <c r="AB37" s="86">
        <f t="shared" si="19"/>
        <v>0</v>
      </c>
    </row>
    <row r="38" spans="1:28" s="148" customFormat="1" x14ac:dyDescent="0.3">
      <c r="G38" s="195"/>
      <c r="H38" s="195"/>
      <c r="L38" s="195"/>
      <c r="M38" s="195"/>
      <c r="N38" s="195"/>
      <c r="O38" s="195"/>
      <c r="P38" s="195"/>
      <c r="Y38" s="198"/>
      <c r="Z38" s="198"/>
      <c r="AA38" s="198"/>
      <c r="AB38" s="198"/>
    </row>
    <row r="39" spans="1:28" s="148" customFormat="1" x14ac:dyDescent="0.3">
      <c r="G39" s="195"/>
      <c r="H39" s="195"/>
      <c r="L39" s="195"/>
      <c r="M39" s="195"/>
      <c r="N39" s="195"/>
      <c r="O39" s="195"/>
      <c r="P39" s="195"/>
      <c r="Y39" s="198"/>
      <c r="Z39" s="198"/>
      <c r="AA39" s="198"/>
      <c r="AB39" s="198"/>
    </row>
    <row r="40" spans="1:28" s="148" customFormat="1" x14ac:dyDescent="0.3">
      <c r="G40" s="195"/>
      <c r="H40" s="195"/>
      <c r="L40" s="195"/>
      <c r="M40" s="195"/>
      <c r="N40" s="195"/>
      <c r="O40" s="195"/>
      <c r="P40" s="195"/>
      <c r="Y40" s="198"/>
      <c r="Z40" s="198"/>
      <c r="AA40" s="198"/>
      <c r="AB40" s="198"/>
    </row>
    <row r="41" spans="1:28" s="148" customFormat="1" x14ac:dyDescent="0.3">
      <c r="G41" s="195"/>
      <c r="H41" s="195"/>
      <c r="L41" s="195"/>
      <c r="M41" s="195"/>
      <c r="N41" s="195"/>
      <c r="O41" s="195"/>
      <c r="P41" s="195"/>
      <c r="Y41" s="198"/>
      <c r="Z41" s="198"/>
      <c r="AA41" s="198"/>
      <c r="AB41" s="198"/>
    </row>
    <row r="42" spans="1:28" s="148" customFormat="1" x14ac:dyDescent="0.3">
      <c r="G42" s="195"/>
      <c r="H42" s="195"/>
      <c r="L42" s="195"/>
      <c r="M42" s="195"/>
      <c r="N42" s="195"/>
      <c r="O42" s="195"/>
      <c r="P42" s="195"/>
      <c r="Y42" s="198"/>
      <c r="Z42" s="198"/>
      <c r="AA42" s="198"/>
      <c r="AB42" s="198"/>
    </row>
    <row r="43" spans="1:28" s="148" customFormat="1" x14ac:dyDescent="0.3">
      <c r="G43" s="195"/>
      <c r="H43" s="195"/>
      <c r="L43" s="195"/>
      <c r="M43" s="195"/>
      <c r="N43" s="195"/>
      <c r="O43" s="195"/>
      <c r="P43" s="195"/>
      <c r="Y43" s="198"/>
      <c r="Z43" s="198"/>
      <c r="AA43" s="198"/>
      <c r="AB43" s="198"/>
    </row>
    <row r="44" spans="1:28" s="148" customFormat="1" x14ac:dyDescent="0.3">
      <c r="G44" s="195"/>
      <c r="H44" s="195"/>
      <c r="L44" s="195"/>
      <c r="M44" s="195"/>
      <c r="N44" s="195"/>
      <c r="O44" s="195"/>
      <c r="P44" s="195"/>
      <c r="Y44" s="198"/>
      <c r="Z44" s="198"/>
      <c r="AA44" s="198"/>
      <c r="AB44" s="198"/>
    </row>
    <row r="45" spans="1:28" s="148" customFormat="1" x14ac:dyDescent="0.3">
      <c r="G45" s="195"/>
      <c r="H45" s="195"/>
      <c r="L45" s="195"/>
      <c r="M45" s="195"/>
      <c r="N45" s="195"/>
      <c r="O45" s="195"/>
      <c r="P45" s="195"/>
      <c r="Y45" s="198"/>
      <c r="Z45" s="198"/>
      <c r="AA45" s="198"/>
      <c r="AB45" s="198"/>
    </row>
    <row r="46" spans="1:28" s="148" customFormat="1" x14ac:dyDescent="0.3">
      <c r="Y46" s="198"/>
      <c r="Z46" s="198"/>
      <c r="AA46" s="198"/>
      <c r="AB46" s="198"/>
    </row>
    <row r="47" spans="1:28" s="148" customFormat="1" x14ac:dyDescent="0.3">
      <c r="Y47" s="198"/>
      <c r="Z47" s="198"/>
      <c r="AA47" s="198"/>
      <c r="AB47" s="198"/>
    </row>
    <row r="48" spans="1:28" s="148" customFormat="1" x14ac:dyDescent="0.3">
      <c r="Y48" s="198"/>
      <c r="Z48" s="198"/>
      <c r="AA48" s="198"/>
      <c r="AB48" s="198"/>
    </row>
    <row r="49" spans="25:28" s="148" customFormat="1" x14ac:dyDescent="0.3">
      <c r="Y49" s="198"/>
      <c r="Z49" s="198"/>
      <c r="AA49" s="198"/>
      <c r="AB49" s="198"/>
    </row>
    <row r="50" spans="25:28" s="148" customFormat="1" x14ac:dyDescent="0.3">
      <c r="Y50" s="198"/>
      <c r="Z50" s="198"/>
      <c r="AA50" s="198"/>
      <c r="AB50" s="198"/>
    </row>
  </sheetData>
  <sheetProtection sheet="1" objects="1" scenarios="1"/>
  <conditionalFormatting sqref="I8:I37">
    <cfRule type="cellIs" dxfId="5" priority="5" operator="lessThan">
      <formula>1</formula>
    </cfRule>
  </conditionalFormatting>
  <conditionalFormatting sqref="K8:K37">
    <cfRule type="cellIs" dxfId="4" priority="4" operator="greaterThan">
      <formula>0</formula>
    </cfRule>
  </conditionalFormatting>
  <conditionalFormatting sqref="J8:J37">
    <cfRule type="cellIs" dxfId="3" priority="1" operator="lessThan">
      <formula>1</formula>
    </cfRule>
    <cfRule type="cellIs" dxfId="2" priority="2" operator="lessThan">
      <formula>0</formula>
    </cfRule>
  </conditionalFormatting>
  <printOptions gridLines="1"/>
  <pageMargins left="0.39370078740157483" right="0.39370078740157483" top="0.39370078740157483" bottom="0.39370078740157483" header="0.31496062992125984" footer="0.31496062992125984"/>
  <pageSetup paperSize="9" orientation="landscape" r:id="rId1"/>
  <rowBreaks count="1" manualBreakCount="1">
    <brk id="37" max="25" man="1"/>
  </rowBreaks>
  <ignoredErrors>
    <ignoredError sqref="H8:H37 L8:L37" unlocked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12">
    <tabColor rgb="FF0000FF"/>
  </sheetPr>
  <dimension ref="B1:F26"/>
  <sheetViews>
    <sheetView topLeftCell="A4" zoomScale="120" zoomScaleNormal="120" workbookViewId="0">
      <selection activeCell="H17" sqref="H17"/>
    </sheetView>
  </sheetViews>
  <sheetFormatPr defaultRowHeight="14.4" x14ac:dyDescent="0.3"/>
  <cols>
    <col min="1" max="1" width="3" customWidth="1"/>
    <col min="2" max="2" width="20.6640625" customWidth="1"/>
    <col min="3" max="6" width="9.109375" customWidth="1"/>
    <col min="7" max="7" width="7.5546875" customWidth="1"/>
  </cols>
  <sheetData>
    <row r="1" spans="2:6" ht="21" x14ac:dyDescent="0.4">
      <c r="B1" s="23" t="s">
        <v>218</v>
      </c>
    </row>
    <row r="3" spans="2:6" x14ac:dyDescent="0.3">
      <c r="B3" t="s">
        <v>400</v>
      </c>
    </row>
    <row r="4" spans="2:6" x14ac:dyDescent="0.3">
      <c r="B4" t="s">
        <v>398</v>
      </c>
    </row>
    <row r="5" spans="2:6" x14ac:dyDescent="0.3">
      <c r="B5" t="s">
        <v>399</v>
      </c>
    </row>
    <row r="7" spans="2:6" x14ac:dyDescent="0.3">
      <c r="B7" s="34" t="s">
        <v>14</v>
      </c>
      <c r="C7" s="241" t="s">
        <v>0</v>
      </c>
      <c r="D7" s="241" t="s">
        <v>283</v>
      </c>
      <c r="E7" s="259" t="s">
        <v>284</v>
      </c>
      <c r="F7" s="241" t="s">
        <v>2</v>
      </c>
    </row>
    <row r="8" spans="2:6" x14ac:dyDescent="0.3">
      <c r="B8" s="153" t="s">
        <v>85</v>
      </c>
      <c r="C8" s="37">
        <v>0</v>
      </c>
      <c r="D8" s="37" t="s">
        <v>84</v>
      </c>
      <c r="E8" s="37">
        <v>40</v>
      </c>
      <c r="F8" s="14">
        <f>C8*E8</f>
        <v>0</v>
      </c>
    </row>
    <row r="9" spans="2:6" x14ac:dyDescent="0.3">
      <c r="B9" s="153" t="s">
        <v>86</v>
      </c>
      <c r="C9" s="37">
        <v>0</v>
      </c>
      <c r="D9" s="37" t="s">
        <v>84</v>
      </c>
      <c r="E9" s="37">
        <v>24</v>
      </c>
      <c r="F9" s="14">
        <f t="shared" ref="F9:F18" si="0">C9*E9</f>
        <v>0</v>
      </c>
    </row>
    <row r="10" spans="2:6" x14ac:dyDescent="0.3">
      <c r="B10" s="153" t="s">
        <v>87</v>
      </c>
      <c r="C10" s="37">
        <v>0</v>
      </c>
      <c r="D10" s="37" t="s">
        <v>285</v>
      </c>
      <c r="E10" s="37">
        <v>15</v>
      </c>
      <c r="F10" s="14">
        <f t="shared" si="0"/>
        <v>0</v>
      </c>
    </row>
    <row r="11" spans="2:6" x14ac:dyDescent="0.3">
      <c r="B11" s="153" t="s">
        <v>88</v>
      </c>
      <c r="C11" s="37">
        <v>0</v>
      </c>
      <c r="D11" s="37" t="s">
        <v>84</v>
      </c>
      <c r="E11" s="37">
        <v>120</v>
      </c>
      <c r="F11" s="14">
        <f t="shared" si="0"/>
        <v>0</v>
      </c>
    </row>
    <row r="12" spans="2:6" x14ac:dyDescent="0.3">
      <c r="B12" s="153" t="s">
        <v>92</v>
      </c>
      <c r="C12" s="37">
        <v>0</v>
      </c>
      <c r="D12" s="37" t="s">
        <v>286</v>
      </c>
      <c r="E12" s="37">
        <v>55</v>
      </c>
      <c r="F12" s="14">
        <f t="shared" si="0"/>
        <v>0</v>
      </c>
    </row>
    <row r="13" spans="2:6" x14ac:dyDescent="0.3">
      <c r="B13" s="153" t="s">
        <v>93</v>
      </c>
      <c r="C13" s="37">
        <v>0</v>
      </c>
      <c r="D13" s="37" t="s">
        <v>286</v>
      </c>
      <c r="E13" s="37">
        <v>50</v>
      </c>
      <c r="F13" s="14">
        <f t="shared" si="0"/>
        <v>0</v>
      </c>
    </row>
    <row r="14" spans="2:6" ht="16.2" x14ac:dyDescent="0.3">
      <c r="B14" s="153" t="s">
        <v>89</v>
      </c>
      <c r="C14" s="37">
        <v>0</v>
      </c>
      <c r="D14" s="37" t="s">
        <v>287</v>
      </c>
      <c r="E14" s="201">
        <v>2.5</v>
      </c>
      <c r="F14" s="14">
        <f t="shared" si="0"/>
        <v>0</v>
      </c>
    </row>
    <row r="15" spans="2:6" x14ac:dyDescent="0.3">
      <c r="B15" s="153" t="s">
        <v>90</v>
      </c>
      <c r="C15" s="37">
        <v>0</v>
      </c>
      <c r="D15" s="37" t="s">
        <v>84</v>
      </c>
      <c r="E15" s="37">
        <v>18</v>
      </c>
      <c r="F15" s="14">
        <f t="shared" si="0"/>
        <v>0</v>
      </c>
    </row>
    <row r="16" spans="2:6" x14ac:dyDescent="0.3">
      <c r="B16" s="153" t="s">
        <v>91</v>
      </c>
      <c r="C16" s="37">
        <v>0</v>
      </c>
      <c r="D16" s="37" t="s">
        <v>84</v>
      </c>
      <c r="E16" s="37"/>
      <c r="F16" s="14">
        <f t="shared" si="0"/>
        <v>0</v>
      </c>
    </row>
    <row r="17" spans="2:6" x14ac:dyDescent="0.3">
      <c r="B17" s="153" t="s">
        <v>91</v>
      </c>
      <c r="C17" s="37">
        <v>0</v>
      </c>
      <c r="D17" s="37" t="s">
        <v>84</v>
      </c>
      <c r="E17" s="37"/>
      <c r="F17" s="14">
        <f t="shared" si="0"/>
        <v>0</v>
      </c>
    </row>
    <row r="18" spans="2:6" x14ac:dyDescent="0.3">
      <c r="B18" s="155" t="s">
        <v>91</v>
      </c>
      <c r="C18" s="38">
        <v>0</v>
      </c>
      <c r="D18" s="38" t="s">
        <v>84</v>
      </c>
      <c r="E18" s="38"/>
      <c r="F18" s="19">
        <f t="shared" si="0"/>
        <v>0</v>
      </c>
    </row>
    <row r="19" spans="2:6" x14ac:dyDescent="0.3">
      <c r="B19" s="4" t="s">
        <v>58</v>
      </c>
      <c r="C19" s="39"/>
      <c r="D19" s="39"/>
      <c r="E19" s="39"/>
      <c r="F19" s="263">
        <f>SUM(F8:F18)</f>
        <v>0</v>
      </c>
    </row>
    <row r="21" spans="2:6" x14ac:dyDescent="0.3">
      <c r="B21" t="s">
        <v>61</v>
      </c>
      <c r="F21" s="37">
        <f>'1. Pelto'!E8</f>
        <v>60</v>
      </c>
    </row>
    <row r="22" spans="2:6" x14ac:dyDescent="0.3">
      <c r="B22" t="s">
        <v>94</v>
      </c>
      <c r="F22">
        <f>F19/F21</f>
        <v>0</v>
      </c>
    </row>
    <row r="25" spans="2:6" x14ac:dyDescent="0.3">
      <c r="B25" t="s">
        <v>122</v>
      </c>
    </row>
    <row r="26" spans="2:6" x14ac:dyDescent="0.3">
      <c r="B26" s="57" t="s">
        <v>288</v>
      </c>
    </row>
  </sheetData>
  <sheetProtection sheet="1" objects="1" scenarios="1"/>
  <hyperlinks>
    <hyperlink ref="B26" r:id="rId1" xr:uid="{00000000-0004-0000-0B00-000000000000}"/>
  </hyperlinks>
  <printOptions gridLines="1"/>
  <pageMargins left="0.39370078740157483" right="0.39370078740157483" top="0.39370078740157483" bottom="0.39370078740157483" header="0.31496062992125984" footer="0.31496062992125984"/>
  <pageSetup paperSize="9" scale="97" orientation="landscape"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
    <tabColor rgb="FF0000FF"/>
  </sheetPr>
  <dimension ref="A1:R16"/>
  <sheetViews>
    <sheetView zoomScale="120" zoomScaleNormal="120" workbookViewId="0">
      <pane xSplit="2" ySplit="7" topLeftCell="C8" activePane="bottomRight" state="frozen"/>
      <selection activeCell="J14" sqref="J14"/>
      <selection pane="topRight" activeCell="J14" sqref="J14"/>
      <selection pane="bottomLeft" activeCell="J14" sqref="J14"/>
      <selection pane="bottomRight" activeCell="C9" sqref="C9"/>
    </sheetView>
  </sheetViews>
  <sheetFormatPr defaultRowHeight="14.4" x14ac:dyDescent="0.3"/>
  <cols>
    <col min="1" max="1" width="2.77734375" customWidth="1"/>
    <col min="2" max="2" width="20.6640625" customWidth="1"/>
    <col min="3" max="7" width="8.6640625" customWidth="1"/>
    <col min="8" max="8" width="2.44140625" customWidth="1"/>
    <col min="9" max="14" width="9.109375" customWidth="1"/>
    <col min="15" max="15" width="2.6640625" customWidth="1"/>
    <col min="16" max="16" width="10" bestFit="1" customWidth="1"/>
  </cols>
  <sheetData>
    <row r="1" spans="1:18" ht="21" x14ac:dyDescent="0.4">
      <c r="B1" s="23" t="s">
        <v>331</v>
      </c>
      <c r="I1" s="4" t="s">
        <v>55</v>
      </c>
      <c r="P1" s="87" t="s">
        <v>193</v>
      </c>
    </row>
    <row r="2" spans="1:18" x14ac:dyDescent="0.3">
      <c r="B2" s="4"/>
      <c r="C2" s="14"/>
      <c r="D2" s="14"/>
      <c r="E2" s="14"/>
      <c r="H2" s="14"/>
      <c r="I2" s="14"/>
      <c r="J2" s="14"/>
      <c r="K2" s="240" t="s">
        <v>30</v>
      </c>
      <c r="L2" s="14">
        <f>SUM(M2:N2)</f>
        <v>95</v>
      </c>
      <c r="M2" s="18">
        <f>'1. Pelto'!E8</f>
        <v>60</v>
      </c>
      <c r="N2" s="18">
        <f>'1. Pelto'!E14</f>
        <v>35</v>
      </c>
    </row>
    <row r="3" spans="1:18" x14ac:dyDescent="0.3">
      <c r="B3" s="4"/>
      <c r="C3" s="14"/>
      <c r="D3" s="14"/>
      <c r="E3" s="14"/>
      <c r="H3" s="14"/>
      <c r="I3" s="14"/>
      <c r="K3" s="42" t="s">
        <v>28</v>
      </c>
      <c r="L3" s="8">
        <f>IFERROR(L4/L2,0)</f>
        <v>184.90350877192984</v>
      </c>
      <c r="M3" s="261">
        <f>IFERROR(M4/M2,0)</f>
        <v>183.4</v>
      </c>
      <c r="N3" s="8">
        <f>IFERROR(N4/N2,0)</f>
        <v>187.4809523809524</v>
      </c>
    </row>
    <row r="4" spans="1:18" s="4" customFormat="1" x14ac:dyDescent="0.3">
      <c r="B4" s="4" t="s">
        <v>53</v>
      </c>
      <c r="C4" s="39">
        <f>SUM(C8:C16)</f>
        <v>338500</v>
      </c>
      <c r="D4" s="39"/>
      <c r="E4" s="39"/>
      <c r="F4" s="60"/>
      <c r="G4" s="60"/>
      <c r="H4" s="39"/>
      <c r="I4" s="39">
        <f t="shared" ref="I4:N4" si="0">SUM(I8:I16)</f>
        <v>10795.833333333334</v>
      </c>
      <c r="J4" s="39">
        <f t="shared" si="0"/>
        <v>6770</v>
      </c>
      <c r="K4" s="39">
        <f t="shared" si="0"/>
        <v>0</v>
      </c>
      <c r="L4" s="39">
        <f t="shared" si="0"/>
        <v>17565.833333333336</v>
      </c>
      <c r="M4" s="324">
        <f t="shared" si="0"/>
        <v>11004</v>
      </c>
      <c r="N4" s="239">
        <f t="shared" si="0"/>
        <v>6561.8333333333339</v>
      </c>
      <c r="P4" s="85">
        <f>SUM(P8:P16)</f>
        <v>211058.33333333334</v>
      </c>
      <c r="Q4" s="85">
        <f>SUM(Q8:Q16)</f>
        <v>132853.33333333334</v>
      </c>
      <c r="R4" s="85">
        <f>SUM(R8:R16)</f>
        <v>78205</v>
      </c>
    </row>
    <row r="5" spans="1:18" s="4" customFormat="1" x14ac:dyDescent="0.3">
      <c r="C5" s="39"/>
      <c r="D5" s="39"/>
      <c r="E5" s="39"/>
      <c r="F5" s="60"/>
      <c r="G5" s="60"/>
      <c r="H5" s="39"/>
      <c r="I5" s="39"/>
      <c r="L5" s="114">
        <f>L4/$L$4</f>
        <v>1</v>
      </c>
      <c r="M5" s="114">
        <f>M4/$L$4</f>
        <v>0.62644337966696706</v>
      </c>
      <c r="N5" s="114">
        <f>N4/$L$4</f>
        <v>0.37355662033303288</v>
      </c>
      <c r="P5" s="85"/>
      <c r="Q5" s="85"/>
      <c r="R5" s="85"/>
    </row>
    <row r="6" spans="1:18" x14ac:dyDescent="0.3">
      <c r="A6" s="4"/>
      <c r="B6" s="4" t="s">
        <v>117</v>
      </c>
      <c r="C6" s="4"/>
      <c r="D6" s="4"/>
      <c r="E6" s="4"/>
      <c r="F6" s="4"/>
      <c r="G6" s="4"/>
      <c r="H6" s="4"/>
      <c r="J6" s="197">
        <f>'7. Laskelma'!D7</f>
        <v>0.04</v>
      </c>
      <c r="K6" s="197">
        <v>0</v>
      </c>
      <c r="L6" s="4"/>
      <c r="M6" s="4"/>
      <c r="N6" s="4"/>
      <c r="Q6" s="87"/>
      <c r="R6" s="87"/>
    </row>
    <row r="7" spans="1:18" ht="46.5" customHeight="1" x14ac:dyDescent="0.3">
      <c r="A7" s="34"/>
      <c r="B7" s="34" t="s">
        <v>195</v>
      </c>
      <c r="C7" s="70" t="s">
        <v>95</v>
      </c>
      <c r="D7" s="70" t="s">
        <v>368</v>
      </c>
      <c r="E7" s="70" t="s">
        <v>97</v>
      </c>
      <c r="F7" s="70" t="str">
        <f>'1. Pelto'!E5</f>
        <v>Säilörehu</v>
      </c>
      <c r="G7" s="70" t="s">
        <v>299</v>
      </c>
      <c r="H7" s="3"/>
      <c r="I7" s="70" t="s">
        <v>34</v>
      </c>
      <c r="J7" s="70" t="s">
        <v>35</v>
      </c>
      <c r="K7" s="70" t="s">
        <v>119</v>
      </c>
      <c r="L7" s="70" t="s">
        <v>37</v>
      </c>
      <c r="M7" s="70" t="str">
        <f>F7</f>
        <v>Säilörehu</v>
      </c>
      <c r="N7" s="70" t="s">
        <v>229</v>
      </c>
      <c r="P7" s="209" t="s">
        <v>372</v>
      </c>
      <c r="Q7" s="209" t="str">
        <f>F7</f>
        <v>Säilörehu</v>
      </c>
      <c r="R7" s="211" t="s">
        <v>57</v>
      </c>
    </row>
    <row r="8" spans="1:18" x14ac:dyDescent="0.3">
      <c r="A8" s="148">
        <v>1</v>
      </c>
      <c r="B8" s="224" t="s">
        <v>321</v>
      </c>
      <c r="C8" s="225">
        <f>'1. Pelto'!E34</f>
        <v>58500</v>
      </c>
      <c r="D8" s="225">
        <f>'1. Pelto'!E29</f>
        <v>6</v>
      </c>
      <c r="E8" s="225">
        <f>'1. Pelto'!E30</f>
        <v>40</v>
      </c>
      <c r="F8" s="226">
        <f>IF('1. Pelto'!E24=0,0,'1. Pelto'!E25/'1. Pelto'!E24)</f>
        <v>0.53333333333333333</v>
      </c>
      <c r="G8" s="226">
        <f>1-F8</f>
        <v>0.46666666666666667</v>
      </c>
      <c r="I8" s="14">
        <f>C8/E8</f>
        <v>1462.5</v>
      </c>
      <c r="J8" s="14">
        <f t="shared" ref="J8:J15" si="1">C8/2*$J$6</f>
        <v>1170</v>
      </c>
      <c r="K8" s="149">
        <f t="shared" ref="K8:K15" si="2">C8/2*$K$6</f>
        <v>0</v>
      </c>
      <c r="L8" s="14">
        <f>SUM(I8:K8)</f>
        <v>2632.5</v>
      </c>
      <c r="M8" s="14">
        <f>L8*F8</f>
        <v>1404</v>
      </c>
      <c r="N8" s="14">
        <f>L8*G8</f>
        <v>1228.5</v>
      </c>
      <c r="P8" s="86">
        <f>C8-(I8*D8)</f>
        <v>49725</v>
      </c>
      <c r="Q8" s="86">
        <f>P8*F8</f>
        <v>26520</v>
      </c>
      <c r="R8" s="86">
        <f>P8*G8</f>
        <v>23205</v>
      </c>
    </row>
    <row r="9" spans="1:18" x14ac:dyDescent="0.3">
      <c r="A9" s="148">
        <v>2</v>
      </c>
      <c r="B9" s="153" t="s">
        <v>113</v>
      </c>
      <c r="C9" s="149">
        <v>20000</v>
      </c>
      <c r="D9" s="149">
        <v>25</v>
      </c>
      <c r="E9" s="149">
        <v>30</v>
      </c>
      <c r="F9" s="196">
        <v>1</v>
      </c>
      <c r="G9" s="196">
        <f t="shared" ref="G9:G15" si="3">1-F9</f>
        <v>0</v>
      </c>
      <c r="I9" s="14">
        <f t="shared" ref="I9:I15" si="4">C9/E9</f>
        <v>666.66666666666663</v>
      </c>
      <c r="J9" s="14">
        <f t="shared" si="1"/>
        <v>400</v>
      </c>
      <c r="K9" s="149">
        <f t="shared" si="2"/>
        <v>0</v>
      </c>
      <c r="L9" s="14">
        <f t="shared" ref="L9:L15" si="5">SUM(I9:K9)</f>
        <v>1066.6666666666665</v>
      </c>
      <c r="M9" s="14">
        <f t="shared" ref="M9:M15" si="6">L9*F9</f>
        <v>1066.6666666666665</v>
      </c>
      <c r="N9" s="14">
        <f t="shared" ref="N9:N15" si="7">L9*G9</f>
        <v>0</v>
      </c>
      <c r="P9" s="86">
        <f t="shared" ref="P9:P15" si="8">C9-(I9*D9)</f>
        <v>3333.3333333333358</v>
      </c>
      <c r="Q9" s="86">
        <f t="shared" ref="Q9:Q15" si="9">P9*F9</f>
        <v>3333.3333333333358</v>
      </c>
      <c r="R9" s="86">
        <f t="shared" ref="R9:R15" si="10">P9*G9</f>
        <v>0</v>
      </c>
    </row>
    <row r="10" spans="1:18" x14ac:dyDescent="0.3">
      <c r="A10" s="148">
        <v>3</v>
      </c>
      <c r="B10" s="153" t="s">
        <v>114</v>
      </c>
      <c r="C10" s="149">
        <v>60000</v>
      </c>
      <c r="D10" s="149">
        <v>6</v>
      </c>
      <c r="E10" s="149">
        <v>30</v>
      </c>
      <c r="F10" s="196">
        <v>1</v>
      </c>
      <c r="G10" s="196">
        <f t="shared" si="3"/>
        <v>0</v>
      </c>
      <c r="I10" s="14">
        <f t="shared" si="4"/>
        <v>2000</v>
      </c>
      <c r="J10" s="14">
        <f t="shared" si="1"/>
        <v>1200</v>
      </c>
      <c r="K10" s="149">
        <f t="shared" si="2"/>
        <v>0</v>
      </c>
      <c r="L10" s="14">
        <f t="shared" si="5"/>
        <v>3200</v>
      </c>
      <c r="M10" s="14">
        <f t="shared" si="6"/>
        <v>3200</v>
      </c>
      <c r="N10" s="14">
        <f t="shared" si="7"/>
        <v>0</v>
      </c>
      <c r="P10" s="86">
        <f t="shared" si="8"/>
        <v>48000</v>
      </c>
      <c r="Q10" s="86">
        <f t="shared" si="9"/>
        <v>48000</v>
      </c>
      <c r="R10" s="86">
        <f t="shared" si="10"/>
        <v>0</v>
      </c>
    </row>
    <row r="11" spans="1:18" x14ac:dyDescent="0.3">
      <c r="A11" s="148">
        <v>4</v>
      </c>
      <c r="B11" s="153" t="s">
        <v>116</v>
      </c>
      <c r="C11" s="149">
        <v>100000</v>
      </c>
      <c r="D11" s="149">
        <v>18</v>
      </c>
      <c r="E11" s="149">
        <v>30</v>
      </c>
      <c r="F11" s="196">
        <v>0.5</v>
      </c>
      <c r="G11" s="196">
        <f t="shared" si="3"/>
        <v>0.5</v>
      </c>
      <c r="I11" s="14">
        <f t="shared" si="4"/>
        <v>3333.3333333333335</v>
      </c>
      <c r="J11" s="14">
        <f t="shared" si="1"/>
        <v>2000</v>
      </c>
      <c r="K11" s="149">
        <f t="shared" si="2"/>
        <v>0</v>
      </c>
      <c r="L11" s="14">
        <f t="shared" si="5"/>
        <v>5333.3333333333339</v>
      </c>
      <c r="M11" s="14">
        <f t="shared" si="6"/>
        <v>2666.666666666667</v>
      </c>
      <c r="N11" s="14">
        <f t="shared" si="7"/>
        <v>2666.666666666667</v>
      </c>
      <c r="P11" s="86">
        <f t="shared" si="8"/>
        <v>40000</v>
      </c>
      <c r="Q11" s="86">
        <f t="shared" si="9"/>
        <v>20000</v>
      </c>
      <c r="R11" s="86">
        <f t="shared" si="10"/>
        <v>20000</v>
      </c>
    </row>
    <row r="12" spans="1:18" x14ac:dyDescent="0.3">
      <c r="A12" s="148">
        <v>5</v>
      </c>
      <c r="B12" s="153" t="s">
        <v>115</v>
      </c>
      <c r="C12" s="149">
        <v>100000</v>
      </c>
      <c r="D12" s="149">
        <v>9</v>
      </c>
      <c r="E12" s="149">
        <v>30</v>
      </c>
      <c r="F12" s="196">
        <v>0.5</v>
      </c>
      <c r="G12" s="196">
        <f t="shared" si="3"/>
        <v>0.5</v>
      </c>
      <c r="I12" s="14">
        <f t="shared" si="4"/>
        <v>3333.3333333333335</v>
      </c>
      <c r="J12" s="14">
        <f t="shared" si="1"/>
        <v>2000</v>
      </c>
      <c r="K12" s="149">
        <f t="shared" si="2"/>
        <v>0</v>
      </c>
      <c r="L12" s="14">
        <f t="shared" si="5"/>
        <v>5333.3333333333339</v>
      </c>
      <c r="M12" s="14">
        <f t="shared" si="6"/>
        <v>2666.666666666667</v>
      </c>
      <c r="N12" s="14">
        <f t="shared" si="7"/>
        <v>2666.666666666667</v>
      </c>
      <c r="P12" s="86">
        <f t="shared" si="8"/>
        <v>70000</v>
      </c>
      <c r="Q12" s="86">
        <f t="shared" si="9"/>
        <v>35000</v>
      </c>
      <c r="R12" s="86">
        <f t="shared" si="10"/>
        <v>35000</v>
      </c>
    </row>
    <row r="13" spans="1:18" x14ac:dyDescent="0.3">
      <c r="A13" s="148">
        <v>6</v>
      </c>
      <c r="B13" s="153" t="s">
        <v>101</v>
      </c>
      <c r="C13" s="149">
        <v>0</v>
      </c>
      <c r="D13" s="149">
        <v>1</v>
      </c>
      <c r="E13" s="149">
        <v>30</v>
      </c>
      <c r="F13" s="196">
        <v>1</v>
      </c>
      <c r="G13" s="196">
        <f t="shared" si="3"/>
        <v>0</v>
      </c>
      <c r="I13" s="14">
        <f t="shared" si="4"/>
        <v>0</v>
      </c>
      <c r="J13" s="14">
        <f t="shared" si="1"/>
        <v>0</v>
      </c>
      <c r="K13" s="149">
        <f t="shared" si="2"/>
        <v>0</v>
      </c>
      <c r="L13" s="14">
        <f t="shared" si="5"/>
        <v>0</v>
      </c>
      <c r="M13" s="14">
        <f t="shared" si="6"/>
        <v>0</v>
      </c>
      <c r="N13" s="14">
        <f t="shared" si="7"/>
        <v>0</v>
      </c>
      <c r="P13" s="86">
        <f t="shared" si="8"/>
        <v>0</v>
      </c>
      <c r="Q13" s="86">
        <f t="shared" si="9"/>
        <v>0</v>
      </c>
      <c r="R13" s="86">
        <f t="shared" si="10"/>
        <v>0</v>
      </c>
    </row>
    <row r="14" spans="1:18" x14ac:dyDescent="0.3">
      <c r="A14" s="148">
        <v>7</v>
      </c>
      <c r="B14" s="153" t="s">
        <v>101</v>
      </c>
      <c r="C14" s="149">
        <v>0</v>
      </c>
      <c r="D14" s="149">
        <v>1</v>
      </c>
      <c r="E14" s="149">
        <v>30</v>
      </c>
      <c r="F14" s="196">
        <v>1</v>
      </c>
      <c r="G14" s="196">
        <f t="shared" si="3"/>
        <v>0</v>
      </c>
      <c r="I14" s="14">
        <f t="shared" si="4"/>
        <v>0</v>
      </c>
      <c r="J14" s="14">
        <f t="shared" si="1"/>
        <v>0</v>
      </c>
      <c r="K14" s="149">
        <f t="shared" si="2"/>
        <v>0</v>
      </c>
      <c r="L14" s="14">
        <f t="shared" si="5"/>
        <v>0</v>
      </c>
      <c r="M14" s="14">
        <f t="shared" si="6"/>
        <v>0</v>
      </c>
      <c r="N14" s="14">
        <f t="shared" si="7"/>
        <v>0</v>
      </c>
      <c r="P14" s="86">
        <f t="shared" si="8"/>
        <v>0</v>
      </c>
      <c r="Q14" s="86">
        <f t="shared" si="9"/>
        <v>0</v>
      </c>
      <c r="R14" s="86">
        <f t="shared" si="10"/>
        <v>0</v>
      </c>
    </row>
    <row r="15" spans="1:18" x14ac:dyDescent="0.3">
      <c r="A15" s="148">
        <v>8</v>
      </c>
      <c r="B15" s="153" t="s">
        <v>101</v>
      </c>
      <c r="C15" s="149">
        <v>0</v>
      </c>
      <c r="D15" s="149">
        <v>1</v>
      </c>
      <c r="E15" s="149">
        <v>30</v>
      </c>
      <c r="F15" s="196">
        <v>1</v>
      </c>
      <c r="G15" s="196">
        <f t="shared" si="3"/>
        <v>0</v>
      </c>
      <c r="I15" s="14">
        <f t="shared" si="4"/>
        <v>0</v>
      </c>
      <c r="J15" s="14">
        <f t="shared" si="1"/>
        <v>0</v>
      </c>
      <c r="K15" s="149">
        <f t="shared" si="2"/>
        <v>0</v>
      </c>
      <c r="L15" s="14">
        <f t="shared" si="5"/>
        <v>0</v>
      </c>
      <c r="M15" s="14">
        <f t="shared" si="6"/>
        <v>0</v>
      </c>
      <c r="N15" s="14">
        <f t="shared" si="7"/>
        <v>0</v>
      </c>
      <c r="P15" s="86">
        <f t="shared" si="8"/>
        <v>0</v>
      </c>
      <c r="Q15" s="86">
        <f t="shared" si="9"/>
        <v>0</v>
      </c>
      <c r="R15" s="86">
        <f t="shared" si="10"/>
        <v>0</v>
      </c>
    </row>
    <row r="16" spans="1:18" s="148" customFormat="1" x14ac:dyDescent="0.3"/>
  </sheetData>
  <sheetProtection sheet="1" objects="1" scenarios="1"/>
  <conditionalFormatting sqref="G9:G15">
    <cfRule type="cellIs" dxfId="1" priority="9" operator="greaterThan">
      <formula>0</formula>
    </cfRule>
  </conditionalFormatting>
  <conditionalFormatting sqref="F9:F15">
    <cfRule type="cellIs" dxfId="0" priority="2" operator="lessThan">
      <formula>0.88</formula>
    </cfRule>
  </conditionalFormatting>
  <printOptions gridLines="1"/>
  <pageMargins left="0.39370078740157483" right="0.39370078740157483" top="0.39370078740157483" bottom="0.39370078740157483" header="0.31496062992125984" footer="0.31496062992125984"/>
  <pageSetup paperSize="9" scale="77" orientation="landscape" r:id="rId1"/>
  <colBreaks count="1" manualBreakCount="1">
    <brk id="19" max="32"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5">
    <tabColor rgb="FF0000FF"/>
  </sheetPr>
  <dimension ref="B1:H28"/>
  <sheetViews>
    <sheetView zoomScale="120" zoomScaleNormal="120" workbookViewId="0">
      <pane ySplit="3" topLeftCell="A4" activePane="bottomLeft" state="frozen"/>
      <selection activeCell="J14" sqref="J14"/>
      <selection pane="bottomLeft" activeCell="C4" sqref="C4"/>
    </sheetView>
  </sheetViews>
  <sheetFormatPr defaultRowHeight="14.4" x14ac:dyDescent="0.3"/>
  <cols>
    <col min="1" max="1" width="2.77734375" customWidth="1"/>
    <col min="2" max="2" width="52.33203125" customWidth="1"/>
    <col min="3" max="6" width="10.33203125" customWidth="1"/>
    <col min="7" max="7" width="9.109375" customWidth="1"/>
  </cols>
  <sheetData>
    <row r="1" spans="2:8" ht="21" x14ac:dyDescent="0.4">
      <c r="B1" s="23" t="s">
        <v>306</v>
      </c>
    </row>
    <row r="2" spans="2:8" ht="15" customHeight="1" x14ac:dyDescent="0.4">
      <c r="B2" s="23"/>
      <c r="C2" s="27"/>
      <c r="D2" s="27"/>
      <c r="E2" s="229">
        <v>12</v>
      </c>
    </row>
    <row r="3" spans="2:8" ht="28.8" x14ac:dyDescent="0.3">
      <c r="B3" s="34" t="s">
        <v>351</v>
      </c>
      <c r="C3" s="212" t="s">
        <v>317</v>
      </c>
      <c r="D3" s="212" t="s">
        <v>314</v>
      </c>
      <c r="E3" s="212" t="s">
        <v>315</v>
      </c>
      <c r="F3" s="34" t="s">
        <v>316</v>
      </c>
      <c r="H3" s="4" t="s">
        <v>251</v>
      </c>
    </row>
    <row r="4" spans="2:8" x14ac:dyDescent="0.3">
      <c r="B4" s="153" t="s">
        <v>311</v>
      </c>
      <c r="C4" s="227">
        <v>3</v>
      </c>
      <c r="D4" s="227">
        <v>2</v>
      </c>
      <c r="E4" s="227">
        <f t="shared" ref="E4:E21" si="0">$E$2</f>
        <v>12</v>
      </c>
      <c r="F4" s="14">
        <f>C4*D4*E4</f>
        <v>72</v>
      </c>
      <c r="H4" t="s">
        <v>312</v>
      </c>
    </row>
    <row r="5" spans="2:8" x14ac:dyDescent="0.3">
      <c r="B5" s="153" t="s">
        <v>425</v>
      </c>
      <c r="C5" s="227">
        <v>0</v>
      </c>
      <c r="D5" s="227">
        <v>1</v>
      </c>
      <c r="E5" s="227">
        <f t="shared" si="0"/>
        <v>12</v>
      </c>
      <c r="F5" s="14">
        <f t="shared" ref="F5" si="1">C5*D5*E5</f>
        <v>0</v>
      </c>
      <c r="H5" t="s">
        <v>313</v>
      </c>
    </row>
    <row r="6" spans="2:8" x14ac:dyDescent="0.3">
      <c r="B6" s="153" t="s">
        <v>308</v>
      </c>
      <c r="C6" s="227">
        <v>4</v>
      </c>
      <c r="D6" s="227">
        <v>1</v>
      </c>
      <c r="E6" s="227">
        <f t="shared" si="0"/>
        <v>12</v>
      </c>
      <c r="F6" s="14">
        <f>C6*D6*E6</f>
        <v>48</v>
      </c>
    </row>
    <row r="7" spans="2:8" x14ac:dyDescent="0.3">
      <c r="B7" s="153" t="s">
        <v>307</v>
      </c>
      <c r="C7" s="227">
        <v>2</v>
      </c>
      <c r="D7" s="227">
        <v>2</v>
      </c>
      <c r="E7" s="227">
        <f t="shared" si="0"/>
        <v>12</v>
      </c>
      <c r="F7" s="14">
        <f>C7*D7*E7</f>
        <v>48</v>
      </c>
    </row>
    <row r="8" spans="2:8" x14ac:dyDescent="0.3">
      <c r="B8" s="153" t="s">
        <v>300</v>
      </c>
      <c r="C8" s="227">
        <v>1</v>
      </c>
      <c r="D8" s="227">
        <v>1</v>
      </c>
      <c r="E8" s="227">
        <f t="shared" si="0"/>
        <v>12</v>
      </c>
      <c r="F8" s="14">
        <f>C8*D8*E8</f>
        <v>12</v>
      </c>
      <c r="H8" s="2" t="s">
        <v>428</v>
      </c>
    </row>
    <row r="9" spans="2:8" x14ac:dyDescent="0.3">
      <c r="B9" s="153" t="s">
        <v>401</v>
      </c>
      <c r="C9" s="227">
        <v>2</v>
      </c>
      <c r="D9" s="227">
        <v>1</v>
      </c>
      <c r="E9" s="227">
        <f t="shared" si="0"/>
        <v>12</v>
      </c>
      <c r="F9" s="14">
        <f t="shared" ref="F9" si="2">C9*D9*E9</f>
        <v>24</v>
      </c>
      <c r="H9" t="s">
        <v>303</v>
      </c>
    </row>
    <row r="10" spans="2:8" x14ac:dyDescent="0.3">
      <c r="B10" s="153" t="s">
        <v>426</v>
      </c>
      <c r="C10" s="227">
        <v>1</v>
      </c>
      <c r="D10" s="227">
        <v>1</v>
      </c>
      <c r="E10" s="227">
        <f t="shared" si="0"/>
        <v>12</v>
      </c>
      <c r="F10" s="14">
        <f t="shared" ref="F10:F18" si="3">C10*D10*E10</f>
        <v>12</v>
      </c>
      <c r="H10" t="s">
        <v>304</v>
      </c>
    </row>
    <row r="11" spans="2:8" x14ac:dyDescent="0.3">
      <c r="B11" s="153" t="s">
        <v>334</v>
      </c>
      <c r="C11" s="227">
        <v>9</v>
      </c>
      <c r="D11" s="227">
        <v>3</v>
      </c>
      <c r="E11" s="227">
        <f t="shared" si="0"/>
        <v>12</v>
      </c>
      <c r="F11" s="14">
        <f t="shared" si="3"/>
        <v>324</v>
      </c>
      <c r="H11" t="s">
        <v>305</v>
      </c>
    </row>
    <row r="12" spans="2:8" x14ac:dyDescent="0.3">
      <c r="B12" s="153" t="s">
        <v>301</v>
      </c>
      <c r="C12" s="227">
        <v>1</v>
      </c>
      <c r="D12" s="227">
        <v>2</v>
      </c>
      <c r="E12" s="227">
        <f t="shared" si="0"/>
        <v>12</v>
      </c>
      <c r="F12" s="14">
        <f t="shared" si="3"/>
        <v>24</v>
      </c>
    </row>
    <row r="13" spans="2:8" x14ac:dyDescent="0.3">
      <c r="B13" s="153" t="s">
        <v>310</v>
      </c>
      <c r="C13" s="227">
        <v>0</v>
      </c>
      <c r="D13" s="227">
        <v>1</v>
      </c>
      <c r="E13" s="227">
        <f t="shared" si="0"/>
        <v>12</v>
      </c>
      <c r="F13" s="14">
        <f t="shared" si="3"/>
        <v>0</v>
      </c>
    </row>
    <row r="14" spans="2:8" x14ac:dyDescent="0.3">
      <c r="B14" s="153" t="s">
        <v>90</v>
      </c>
      <c r="C14" s="227">
        <v>1</v>
      </c>
      <c r="D14" s="227">
        <v>1</v>
      </c>
      <c r="E14" s="227">
        <f t="shared" si="0"/>
        <v>12</v>
      </c>
      <c r="F14" s="14">
        <f t="shared" si="3"/>
        <v>12</v>
      </c>
    </row>
    <row r="15" spans="2:8" x14ac:dyDescent="0.3">
      <c r="B15" s="153" t="s">
        <v>309</v>
      </c>
      <c r="C15" s="227">
        <v>1</v>
      </c>
      <c r="D15" s="227">
        <v>1</v>
      </c>
      <c r="E15" s="227">
        <f t="shared" si="0"/>
        <v>12</v>
      </c>
      <c r="F15" s="14">
        <f t="shared" si="3"/>
        <v>12</v>
      </c>
    </row>
    <row r="16" spans="2:8" x14ac:dyDescent="0.3">
      <c r="B16" s="153" t="s">
        <v>427</v>
      </c>
      <c r="C16" s="227">
        <v>1</v>
      </c>
      <c r="D16" s="227">
        <v>1</v>
      </c>
      <c r="E16" s="227">
        <f t="shared" si="0"/>
        <v>12</v>
      </c>
      <c r="F16" s="14">
        <f t="shared" si="3"/>
        <v>12</v>
      </c>
    </row>
    <row r="17" spans="2:7" x14ac:dyDescent="0.3">
      <c r="B17" s="153" t="s">
        <v>196</v>
      </c>
      <c r="C17" s="227">
        <v>8</v>
      </c>
      <c r="D17" s="227">
        <v>1</v>
      </c>
      <c r="E17" s="227">
        <f t="shared" si="0"/>
        <v>12</v>
      </c>
      <c r="F17" s="14">
        <f t="shared" si="3"/>
        <v>96</v>
      </c>
    </row>
    <row r="18" spans="2:7" x14ac:dyDescent="0.3">
      <c r="B18" s="153" t="s">
        <v>429</v>
      </c>
      <c r="C18" s="227">
        <v>1</v>
      </c>
      <c r="D18" s="227">
        <v>1</v>
      </c>
      <c r="E18" s="227">
        <f t="shared" si="0"/>
        <v>12</v>
      </c>
      <c r="F18" s="14">
        <f t="shared" si="3"/>
        <v>12</v>
      </c>
    </row>
    <row r="19" spans="2:7" x14ac:dyDescent="0.3">
      <c r="B19" s="153" t="s">
        <v>302</v>
      </c>
      <c r="C19" s="227">
        <v>2</v>
      </c>
      <c r="D19" s="227">
        <v>1</v>
      </c>
      <c r="E19" s="227">
        <f t="shared" si="0"/>
        <v>12</v>
      </c>
      <c r="F19" s="14">
        <f t="shared" ref="F19:F22" si="4">C19*D19*E19</f>
        <v>24</v>
      </c>
    </row>
    <row r="20" spans="2:7" x14ac:dyDescent="0.3">
      <c r="B20" s="153" t="s">
        <v>444</v>
      </c>
      <c r="C20" s="227">
        <v>0</v>
      </c>
      <c r="D20" s="227">
        <v>1</v>
      </c>
      <c r="E20" s="227">
        <f t="shared" si="0"/>
        <v>12</v>
      </c>
      <c r="F20" s="14">
        <f t="shared" si="4"/>
        <v>0</v>
      </c>
    </row>
    <row r="21" spans="2:7" x14ac:dyDescent="0.3">
      <c r="B21" s="153" t="s">
        <v>101</v>
      </c>
      <c r="C21" s="227">
        <v>0</v>
      </c>
      <c r="D21" s="227">
        <v>1</v>
      </c>
      <c r="E21" s="227">
        <f t="shared" si="0"/>
        <v>12</v>
      </c>
      <c r="F21" s="14">
        <f t="shared" si="4"/>
        <v>0</v>
      </c>
    </row>
    <row r="22" spans="2:7" x14ac:dyDescent="0.3">
      <c r="B22" s="155" t="s">
        <v>101</v>
      </c>
      <c r="C22" s="228">
        <v>0</v>
      </c>
      <c r="D22" s="228">
        <v>1</v>
      </c>
      <c r="E22" s="228">
        <f>$E$2</f>
        <v>12</v>
      </c>
      <c r="F22" s="19">
        <f t="shared" si="4"/>
        <v>0</v>
      </c>
    </row>
    <row r="23" spans="2:7" x14ac:dyDescent="0.3">
      <c r="B23" s="41" t="s">
        <v>58</v>
      </c>
      <c r="C23" s="143">
        <f>SUM(C4:C22)</f>
        <v>37</v>
      </c>
      <c r="D23" s="213"/>
      <c r="E23" s="143"/>
      <c r="F23" s="39">
        <f>SUM(F4:F22)</f>
        <v>732</v>
      </c>
    </row>
    <row r="25" spans="2:7" x14ac:dyDescent="0.3">
      <c r="B25" s="4" t="s">
        <v>362</v>
      </c>
      <c r="C25" s="4"/>
      <c r="D25" s="4"/>
      <c r="E25" s="4"/>
      <c r="F25" s="264">
        <v>60</v>
      </c>
      <c r="G25" s="4" t="s">
        <v>345</v>
      </c>
    </row>
    <row r="26" spans="2:7" x14ac:dyDescent="0.3">
      <c r="B26" s="4" t="s">
        <v>335</v>
      </c>
      <c r="C26" s="4"/>
      <c r="D26" s="4"/>
      <c r="E26" s="4"/>
      <c r="F26" s="325">
        <f>F23-F25</f>
        <v>672</v>
      </c>
      <c r="G26" s="4" t="s">
        <v>345</v>
      </c>
    </row>
    <row r="27" spans="2:7" x14ac:dyDescent="0.3">
      <c r="B27" s="4" t="s">
        <v>347</v>
      </c>
      <c r="F27" s="39">
        <f>'1. Pelto'!E8</f>
        <v>60</v>
      </c>
      <c r="G27" s="4" t="s">
        <v>84</v>
      </c>
    </row>
    <row r="28" spans="2:7" x14ac:dyDescent="0.3">
      <c r="B28" s="4" t="s">
        <v>346</v>
      </c>
      <c r="F28" s="43">
        <f>F23/F27</f>
        <v>12.2</v>
      </c>
      <c r="G28" s="4" t="s">
        <v>348</v>
      </c>
    </row>
  </sheetData>
  <sheetProtection sheet="1" objects="1" scenarios="1"/>
  <pageMargins left="0.70866141732283472" right="0.70866141732283472" top="0.74803149606299213" bottom="0.74803149606299213" header="0.31496062992125984" footer="0.31496062992125984"/>
  <pageSetup paperSize="9" orientation="landscape" r:id="rId1"/>
  <colBreaks count="1" manualBreakCount="1">
    <brk id="7"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6">
    <tabColor rgb="FF0000FF"/>
  </sheetPr>
  <dimension ref="A1:R59"/>
  <sheetViews>
    <sheetView zoomScale="120" zoomScaleNormal="120" workbookViewId="0">
      <pane xSplit="1" ySplit="4" topLeftCell="B5" activePane="bottomRight" state="frozen"/>
      <selection activeCell="J14" sqref="J14"/>
      <selection pane="topRight" activeCell="J14" sqref="J14"/>
      <selection pane="bottomLeft" activeCell="J14" sqref="J14"/>
      <selection pane="bottomRight" activeCell="L26" sqref="L26"/>
    </sheetView>
  </sheetViews>
  <sheetFormatPr defaultRowHeight="14.4" x14ac:dyDescent="0.3"/>
  <cols>
    <col min="1" max="1" width="34.109375" customWidth="1"/>
    <col min="2" max="17" width="8.5546875" customWidth="1"/>
  </cols>
  <sheetData>
    <row r="1" spans="1:17" x14ac:dyDescent="0.3">
      <c r="A1" s="28" t="s">
        <v>375</v>
      </c>
    </row>
    <row r="2" spans="1:17" ht="21" x14ac:dyDescent="0.4">
      <c r="A2" s="23" t="str">
        <f>CONCATENATE('1. Pelto'!E5,"n tuotantokustannuksen laskeminen")</f>
        <v>Säilörehun tuotantokustannuksen laskeminen</v>
      </c>
      <c r="B2" s="5"/>
      <c r="C2" s="5"/>
      <c r="D2" s="5"/>
      <c r="E2" s="5"/>
    </row>
    <row r="3" spans="1:17" x14ac:dyDescent="0.3">
      <c r="A3" s="1"/>
      <c r="B3" s="1"/>
      <c r="C3" s="1"/>
      <c r="D3" s="1"/>
      <c r="E3" s="1"/>
      <c r="F3" s="1"/>
      <c r="G3" s="1"/>
      <c r="H3" s="1"/>
      <c r="I3" s="1"/>
      <c r="J3" s="1"/>
      <c r="K3" s="1"/>
      <c r="L3" s="1"/>
      <c r="M3" s="1"/>
      <c r="N3" s="1"/>
      <c r="O3" s="1"/>
      <c r="P3" s="1"/>
      <c r="Q3" s="1"/>
    </row>
    <row r="4" spans="1:17" x14ac:dyDescent="0.3">
      <c r="A4" s="33" t="s">
        <v>60</v>
      </c>
      <c r="B4" s="335" t="s">
        <v>103</v>
      </c>
      <c r="C4" s="335"/>
      <c r="D4" s="335"/>
      <c r="E4" s="33"/>
      <c r="F4" s="334" t="s">
        <v>104</v>
      </c>
      <c r="G4" s="334"/>
      <c r="H4" s="334"/>
      <c r="I4" s="34"/>
      <c r="J4" s="334" t="s">
        <v>23</v>
      </c>
      <c r="K4" s="334"/>
      <c r="L4" s="334"/>
      <c r="M4" s="34"/>
      <c r="N4" s="334" t="s">
        <v>31</v>
      </c>
      <c r="O4" s="334"/>
      <c r="P4" s="334"/>
      <c r="Q4" s="34"/>
    </row>
    <row r="5" spans="1:17" s="16" customFormat="1" x14ac:dyDescent="0.3">
      <c r="A5" s="51" t="str">
        <f>CONCATENATE('1. Pelto'!E5,"n viljelyala yhteensä")</f>
        <v>Säilörehun viljelyala yhteensä</v>
      </c>
      <c r="B5" s="26"/>
      <c r="D5" s="25">
        <f>'1. Pelto'!E8</f>
        <v>60</v>
      </c>
      <c r="E5" s="51"/>
      <c r="F5" s="26"/>
      <c r="G5" s="26"/>
      <c r="H5" s="79">
        <v>1</v>
      </c>
      <c r="I5" s="80"/>
      <c r="J5" s="80"/>
      <c r="K5" s="80"/>
      <c r="L5" s="79">
        <f>H5</f>
        <v>1</v>
      </c>
      <c r="M5" s="26"/>
      <c r="N5" s="26"/>
      <c r="O5" s="26"/>
      <c r="P5" s="79">
        <f>L5</f>
        <v>1</v>
      </c>
      <c r="Q5" s="26"/>
    </row>
    <row r="6" spans="1:17" s="16" customFormat="1" x14ac:dyDescent="0.3">
      <c r="A6" s="51" t="s">
        <v>59</v>
      </c>
      <c r="B6" s="26"/>
      <c r="C6" s="26"/>
      <c r="D6" s="81" t="str">
        <f>'1. Pelto'!E40</f>
        <v>C2</v>
      </c>
      <c r="E6" s="51"/>
      <c r="F6" s="26"/>
      <c r="G6" s="26"/>
      <c r="H6" s="81" t="str">
        <f>D6</f>
        <v>C2</v>
      </c>
      <c r="I6" s="82"/>
      <c r="J6" s="82"/>
      <c r="K6" s="82"/>
      <c r="L6" s="81" t="str">
        <f>D6</f>
        <v>C2</v>
      </c>
      <c r="M6" s="82"/>
      <c r="N6" s="82"/>
      <c r="O6" s="82"/>
      <c r="P6" s="81" t="str">
        <f>L6</f>
        <v>C2</v>
      </c>
      <c r="Q6" s="82"/>
    </row>
    <row r="7" spans="1:17" s="16" customFormat="1" x14ac:dyDescent="0.3">
      <c r="A7" s="16" t="s">
        <v>179</v>
      </c>
      <c r="B7" s="78"/>
      <c r="D7" s="161">
        <v>0.04</v>
      </c>
      <c r="E7" s="101"/>
      <c r="F7" s="101"/>
      <c r="G7" s="101"/>
      <c r="H7" s="102">
        <f>D7</f>
        <v>0.04</v>
      </c>
      <c r="I7" s="101"/>
      <c r="J7" s="101"/>
      <c r="K7" s="101"/>
      <c r="L7" s="102">
        <f>D7</f>
        <v>0.04</v>
      </c>
      <c r="M7" s="101"/>
      <c r="N7" s="101"/>
      <c r="O7" s="101"/>
      <c r="P7" s="102">
        <f>D7</f>
        <v>0.04</v>
      </c>
      <c r="Q7" s="101"/>
    </row>
    <row r="8" spans="1:17" x14ac:dyDescent="0.3">
      <c r="A8" t="s">
        <v>26</v>
      </c>
      <c r="B8" s="25" t="s">
        <v>105</v>
      </c>
      <c r="C8" s="25"/>
      <c r="D8" s="326">
        <f>'2. Sadon määrä'!H22</f>
        <v>1057822</v>
      </c>
      <c r="F8" s="25" t="s">
        <v>108</v>
      </c>
      <c r="G8" s="25"/>
      <c r="H8" s="14">
        <f>D8/D5</f>
        <v>17630.366666666665</v>
      </c>
      <c r="I8" s="14"/>
      <c r="J8" s="25" t="s">
        <v>108</v>
      </c>
      <c r="K8" s="14"/>
      <c r="L8" s="18">
        <f>L9/K9</f>
        <v>19701.999027771828</v>
      </c>
      <c r="M8" s="14"/>
      <c r="N8" s="25" t="s">
        <v>108</v>
      </c>
      <c r="O8" s="14"/>
      <c r="P8" s="18">
        <f>P9/O9</f>
        <v>25331.141607135207</v>
      </c>
      <c r="Q8" s="14"/>
    </row>
    <row r="9" spans="1:17" x14ac:dyDescent="0.3">
      <c r="A9" t="s">
        <v>110</v>
      </c>
      <c r="B9" s="46" t="s">
        <v>105</v>
      </c>
      <c r="C9" s="270">
        <f>'2. Sadon määrä'!I22</f>
        <v>0.35529389632660319</v>
      </c>
      <c r="D9" s="103">
        <f>'2. Sadon määrä'!J22</f>
        <v>375837.7</v>
      </c>
      <c r="F9" s="46" t="s">
        <v>108</v>
      </c>
      <c r="G9" s="270">
        <f>C9</f>
        <v>0.35529389632660319</v>
      </c>
      <c r="H9" s="25">
        <f>D9/D5</f>
        <v>6263.961666666667</v>
      </c>
      <c r="J9" s="46" t="s">
        <v>108</v>
      </c>
      <c r="K9" s="162">
        <f>G9</f>
        <v>0.35529389632660319</v>
      </c>
      <c r="L9" s="164">
        <v>7000</v>
      </c>
      <c r="N9" s="46" t="s">
        <v>108</v>
      </c>
      <c r="O9" s="162">
        <f>K9</f>
        <v>0.35529389632660319</v>
      </c>
      <c r="P9" s="164">
        <v>9000</v>
      </c>
    </row>
    <row r="10" spans="1:17" x14ac:dyDescent="0.3">
      <c r="A10" t="s">
        <v>17</v>
      </c>
      <c r="B10" t="s">
        <v>107</v>
      </c>
      <c r="D10" s="269">
        <f>'2. Sadon määrä'!K22</f>
        <v>669.07795705433489</v>
      </c>
      <c r="F10" t="s">
        <v>107</v>
      </c>
      <c r="G10" s="16"/>
      <c r="H10" s="269">
        <f>D10</f>
        <v>669.07795705433489</v>
      </c>
      <c r="J10" t="s">
        <v>107</v>
      </c>
      <c r="L10" s="163">
        <f>H10</f>
        <v>669.07795705433489</v>
      </c>
      <c r="N10" t="s">
        <v>107</v>
      </c>
      <c r="P10" s="163">
        <f>L10</f>
        <v>669.07795705433489</v>
      </c>
    </row>
    <row r="11" spans="1:17" x14ac:dyDescent="0.3">
      <c r="A11" s="6" t="s">
        <v>111</v>
      </c>
      <c r="B11" s="237" t="s">
        <v>106</v>
      </c>
      <c r="C11" s="237">
        <f>'2. Sadon määrä'!L22</f>
        <v>10.705247312869359</v>
      </c>
      <c r="D11" s="238">
        <f>'2. Sadon määrä'!M22</f>
        <v>4023435.5280000004</v>
      </c>
      <c r="E11" s="6"/>
      <c r="F11" s="237" t="s">
        <v>109</v>
      </c>
      <c r="G11" s="237">
        <f>H10*0.016</f>
        <v>10.705247312869359</v>
      </c>
      <c r="H11" s="238">
        <f>H9*G11</f>
        <v>67057.258800000011</v>
      </c>
      <c r="I11" s="6"/>
      <c r="J11" s="237" t="s">
        <v>109</v>
      </c>
      <c r="K11" s="237">
        <f>L10*0.016</f>
        <v>10.705247312869359</v>
      </c>
      <c r="L11" s="238">
        <f>L9*K11</f>
        <v>74936.731190085513</v>
      </c>
      <c r="M11" s="6"/>
      <c r="N11" s="237" t="s">
        <v>109</v>
      </c>
      <c r="O11" s="237">
        <f>P10*0.016</f>
        <v>10.705247312869359</v>
      </c>
      <c r="P11" s="238">
        <f>P9*O11</f>
        <v>96347.225815824233</v>
      </c>
      <c r="Q11" s="6"/>
    </row>
    <row r="12" spans="1:17" x14ac:dyDescent="0.3">
      <c r="A12" s="1"/>
      <c r="B12" s="1"/>
      <c r="C12" s="1"/>
      <c r="D12" s="1"/>
      <c r="E12" s="1"/>
    </row>
    <row r="13" spans="1:17" x14ac:dyDescent="0.3">
      <c r="A13" s="34" t="s">
        <v>18</v>
      </c>
      <c r="B13" s="35" t="s">
        <v>0</v>
      </c>
      <c r="C13" s="35" t="s">
        <v>1</v>
      </c>
      <c r="D13" s="35" t="s">
        <v>2</v>
      </c>
      <c r="E13" s="34"/>
      <c r="F13" s="35" t="s">
        <v>0</v>
      </c>
      <c r="G13" s="35" t="s">
        <v>1</v>
      </c>
      <c r="H13" s="35" t="s">
        <v>2</v>
      </c>
      <c r="I13" s="36"/>
      <c r="J13" s="35" t="s">
        <v>0</v>
      </c>
      <c r="K13" s="35" t="s">
        <v>1</v>
      </c>
      <c r="L13" s="35" t="s">
        <v>2</v>
      </c>
      <c r="M13" s="36"/>
      <c r="N13" s="35" t="s">
        <v>0</v>
      </c>
      <c r="O13" s="35" t="s">
        <v>1</v>
      </c>
      <c r="P13" s="35" t="s">
        <v>2</v>
      </c>
      <c r="Q13" s="36"/>
    </row>
    <row r="14" spans="1:17" x14ac:dyDescent="0.3">
      <c r="A14" s="76" t="s">
        <v>6</v>
      </c>
      <c r="B14" s="18">
        <f>D5</f>
        <v>60</v>
      </c>
      <c r="C14" s="50">
        <f>D14/B14</f>
        <v>382</v>
      </c>
      <c r="D14" s="18">
        <f>'1. Pelto'!E61</f>
        <v>22920</v>
      </c>
      <c r="F14" s="84">
        <f>B14/D5</f>
        <v>1</v>
      </c>
      <c r="G14" s="50">
        <f>C14</f>
        <v>382</v>
      </c>
      <c r="H14" s="14">
        <f>F14*G14</f>
        <v>382</v>
      </c>
      <c r="J14" s="165">
        <f>F14</f>
        <v>1</v>
      </c>
      <c r="K14" s="149">
        <f>G14</f>
        <v>382</v>
      </c>
      <c r="L14" s="14">
        <f>J14*K14</f>
        <v>382</v>
      </c>
      <c r="N14" s="165">
        <f>J14</f>
        <v>1</v>
      </c>
      <c r="O14" s="150">
        <f>G14</f>
        <v>382</v>
      </c>
      <c r="P14" s="14">
        <f>N14*O14</f>
        <v>382</v>
      </c>
    </row>
    <row r="15" spans="1:17" x14ac:dyDescent="0.3">
      <c r="A15" s="6" t="s">
        <v>79</v>
      </c>
      <c r="B15" s="155">
        <v>0</v>
      </c>
      <c r="C15" s="155">
        <v>40</v>
      </c>
      <c r="D15" s="19">
        <f>C15*B15</f>
        <v>0</v>
      </c>
      <c r="E15" s="6"/>
      <c r="F15" s="54">
        <f>B15/D5</f>
        <v>0</v>
      </c>
      <c r="G15" s="54">
        <f>C15</f>
        <v>40</v>
      </c>
      <c r="H15" s="19">
        <f>G15*F15</f>
        <v>0</v>
      </c>
      <c r="I15" s="6"/>
      <c r="J15" s="155">
        <f>F15</f>
        <v>0</v>
      </c>
      <c r="K15" s="155">
        <f>G15</f>
        <v>40</v>
      </c>
      <c r="L15" s="19">
        <f>K15*J15</f>
        <v>0</v>
      </c>
      <c r="M15" s="6"/>
      <c r="N15" s="155">
        <f>J15</f>
        <v>0</v>
      </c>
      <c r="O15" s="155">
        <f>K15</f>
        <v>40</v>
      </c>
      <c r="P15" s="19">
        <f>O15*N15</f>
        <v>0</v>
      </c>
      <c r="Q15" s="6"/>
    </row>
    <row r="16" spans="1:17" x14ac:dyDescent="0.3">
      <c r="A16" s="4" t="s">
        <v>3</v>
      </c>
      <c r="B16" s="4"/>
      <c r="C16" s="4"/>
      <c r="D16" s="39">
        <f>SUM(D14:D15)</f>
        <v>22920</v>
      </c>
      <c r="E16" s="4"/>
      <c r="F16" s="4"/>
      <c r="G16" s="4"/>
      <c r="H16" s="39">
        <f>SUM(H14:H15)</f>
        <v>382</v>
      </c>
      <c r="I16" s="4"/>
      <c r="J16" s="4"/>
      <c r="K16" s="4"/>
      <c r="L16" s="39">
        <f>SUM(L14:L15)</f>
        <v>382</v>
      </c>
      <c r="M16" s="4"/>
      <c r="N16" s="4"/>
      <c r="O16" s="4"/>
      <c r="P16" s="39">
        <f>SUM(P14:P15)</f>
        <v>382</v>
      </c>
      <c r="Q16" s="4"/>
    </row>
    <row r="18" spans="1:17" x14ac:dyDescent="0.3">
      <c r="A18" s="34" t="s">
        <v>240</v>
      </c>
      <c r="B18" s="35" t="s">
        <v>0</v>
      </c>
      <c r="C18" s="35" t="s">
        <v>1</v>
      </c>
      <c r="D18" s="35" t="s">
        <v>2</v>
      </c>
      <c r="E18" s="34"/>
      <c r="F18" s="35" t="s">
        <v>0</v>
      </c>
      <c r="G18" s="35" t="s">
        <v>1</v>
      </c>
      <c r="H18" s="35" t="s">
        <v>2</v>
      </c>
      <c r="I18" s="36"/>
      <c r="J18" s="35" t="s">
        <v>0</v>
      </c>
      <c r="K18" s="35" t="s">
        <v>1</v>
      </c>
      <c r="L18" s="35" t="s">
        <v>2</v>
      </c>
      <c r="M18" s="36"/>
      <c r="N18" s="35" t="s">
        <v>0</v>
      </c>
      <c r="O18" s="35" t="s">
        <v>1</v>
      </c>
      <c r="P18" s="35" t="s">
        <v>2</v>
      </c>
      <c r="Q18" s="36"/>
    </row>
    <row r="19" spans="1:17" x14ac:dyDescent="0.3">
      <c r="A19" t="s">
        <v>482</v>
      </c>
      <c r="B19" s="150">
        <f>D5/4*25</f>
        <v>375</v>
      </c>
      <c r="C19" s="166">
        <v>4.5</v>
      </c>
      <c r="D19" s="14">
        <f>B19*C19</f>
        <v>1687.5</v>
      </c>
      <c r="E19" s="148"/>
      <c r="F19" s="49">
        <f>B19/D5</f>
        <v>6.25</v>
      </c>
      <c r="G19" s="49">
        <f>C19</f>
        <v>4.5</v>
      </c>
      <c r="H19" s="8">
        <f>D19/$D$5</f>
        <v>28.125</v>
      </c>
      <c r="I19" s="148"/>
      <c r="J19" s="166">
        <f>F19</f>
        <v>6.25</v>
      </c>
      <c r="K19" s="166">
        <f>G19</f>
        <v>4.5</v>
      </c>
      <c r="L19" s="8">
        <f t="shared" ref="L19:L29" si="0">J19*K19</f>
        <v>28.125</v>
      </c>
      <c r="M19" s="148"/>
      <c r="N19" s="166">
        <f>F19</f>
        <v>6.25</v>
      </c>
      <c r="O19" s="166">
        <f>G19</f>
        <v>4.5</v>
      </c>
      <c r="P19" s="8">
        <f t="shared" ref="P19:P29" si="1">N19*O19</f>
        <v>28.125</v>
      </c>
      <c r="Q19" s="148"/>
    </row>
    <row r="20" spans="1:17" x14ac:dyDescent="0.3">
      <c r="A20" t="s">
        <v>80</v>
      </c>
      <c r="B20" s="166">
        <f>D5*0.3</f>
        <v>18</v>
      </c>
      <c r="C20" s="150">
        <v>300</v>
      </c>
      <c r="D20" s="14">
        <f>B20*C20</f>
        <v>5400</v>
      </c>
      <c r="E20" s="148"/>
      <c r="F20" s="17">
        <f>B20/$D$5</f>
        <v>0.3</v>
      </c>
      <c r="G20" s="50">
        <f>H20/F20</f>
        <v>300</v>
      </c>
      <c r="H20" s="8">
        <f t="shared" ref="H20:H28" si="2">D20/$D$5</f>
        <v>90</v>
      </c>
      <c r="I20" s="148"/>
      <c r="J20" s="167">
        <f t="shared" ref="J20:J28" si="3">F20</f>
        <v>0.3</v>
      </c>
      <c r="K20" s="150">
        <f t="shared" ref="K20:K28" si="4">G20</f>
        <v>300</v>
      </c>
      <c r="L20" s="8">
        <f t="shared" si="0"/>
        <v>90</v>
      </c>
      <c r="M20" s="148"/>
      <c r="N20" s="167">
        <f t="shared" ref="N20:N28" si="5">F20</f>
        <v>0.3</v>
      </c>
      <c r="O20" s="150">
        <f t="shared" ref="O20:O28" si="6">G20</f>
        <v>300</v>
      </c>
      <c r="P20" s="8">
        <f t="shared" si="1"/>
        <v>90</v>
      </c>
      <c r="Q20" s="148"/>
    </row>
    <row r="21" spans="1:17" x14ac:dyDescent="0.3">
      <c r="A21" t="s">
        <v>81</v>
      </c>
      <c r="B21" s="166">
        <f>D5*0.15</f>
        <v>9</v>
      </c>
      <c r="C21" s="150">
        <v>450</v>
      </c>
      <c r="D21" s="14">
        <f t="shared" ref="D21:D28" si="7">B21*C21</f>
        <v>4050</v>
      </c>
      <c r="E21" s="148"/>
      <c r="F21" s="17">
        <f t="shared" ref="F21:F28" si="8">B21/$D$5</f>
        <v>0.15</v>
      </c>
      <c r="G21" s="50">
        <f t="shared" ref="G21:G27" si="9">H21/F21</f>
        <v>450</v>
      </c>
      <c r="H21" s="8">
        <f t="shared" si="2"/>
        <v>67.5</v>
      </c>
      <c r="I21" s="148"/>
      <c r="J21" s="167">
        <f t="shared" si="3"/>
        <v>0.15</v>
      </c>
      <c r="K21" s="150">
        <f t="shared" si="4"/>
        <v>450</v>
      </c>
      <c r="L21" s="8">
        <f t="shared" si="0"/>
        <v>67.5</v>
      </c>
      <c r="M21" s="148"/>
      <c r="N21" s="167">
        <f t="shared" si="5"/>
        <v>0.15</v>
      </c>
      <c r="O21" s="150">
        <f t="shared" si="6"/>
        <v>450</v>
      </c>
      <c r="P21" s="8">
        <f t="shared" si="1"/>
        <v>67.5</v>
      </c>
      <c r="Q21" s="148"/>
    </row>
    <row r="22" spans="1:17" x14ac:dyDescent="0.3">
      <c r="A22" t="s">
        <v>374</v>
      </c>
      <c r="B22" s="166">
        <v>1</v>
      </c>
      <c r="C22" s="150">
        <v>0</v>
      </c>
      <c r="D22" s="14">
        <f t="shared" ref="D22" si="10">B22*C22</f>
        <v>0</v>
      </c>
      <c r="E22" s="148"/>
      <c r="F22" s="17">
        <f t="shared" ref="F22" si="11">B22/$D$5</f>
        <v>1.6666666666666666E-2</v>
      </c>
      <c r="G22" s="50">
        <f>H22/F22</f>
        <v>0</v>
      </c>
      <c r="H22" s="8">
        <f t="shared" ref="H22" si="12">D22/$D$5</f>
        <v>0</v>
      </c>
      <c r="I22" s="148"/>
      <c r="J22" s="167">
        <f t="shared" ref="J22" si="13">F22</f>
        <v>1.6666666666666666E-2</v>
      </c>
      <c r="K22" s="150">
        <f t="shared" ref="K22" si="14">G22</f>
        <v>0</v>
      </c>
      <c r="L22" s="8">
        <f t="shared" ref="L22" si="15">J22*K22</f>
        <v>0</v>
      </c>
      <c r="M22" s="148"/>
      <c r="N22" s="167">
        <f t="shared" ref="N22" si="16">F22</f>
        <v>1.6666666666666666E-2</v>
      </c>
      <c r="O22" s="150">
        <f t="shared" ref="O22" si="17">G22</f>
        <v>0</v>
      </c>
      <c r="P22" s="8">
        <f t="shared" ref="P22" si="18">N22*O22</f>
        <v>0</v>
      </c>
      <c r="Q22" s="148"/>
    </row>
    <row r="23" spans="1:17" x14ac:dyDescent="0.3">
      <c r="A23" t="s">
        <v>8</v>
      </c>
      <c r="B23" s="164">
        <f>D8/1000*3.5</f>
        <v>3702.3769999999995</v>
      </c>
      <c r="C23" s="167">
        <v>0.8</v>
      </c>
      <c r="D23" s="14">
        <f t="shared" si="7"/>
        <v>2961.9015999999997</v>
      </c>
      <c r="E23" s="148"/>
      <c r="F23" s="49">
        <f t="shared" si="8"/>
        <v>61.706283333333324</v>
      </c>
      <c r="G23" s="17">
        <f t="shared" si="9"/>
        <v>0.79999999999999993</v>
      </c>
      <c r="H23" s="8">
        <f t="shared" si="2"/>
        <v>49.365026666666658</v>
      </c>
      <c r="I23" s="148"/>
      <c r="J23" s="164">
        <f t="shared" si="3"/>
        <v>61.706283333333324</v>
      </c>
      <c r="K23" s="167">
        <f t="shared" si="4"/>
        <v>0.79999999999999993</v>
      </c>
      <c r="L23" s="8">
        <f t="shared" si="0"/>
        <v>49.365026666666658</v>
      </c>
      <c r="M23" s="148"/>
      <c r="N23" s="164">
        <f t="shared" si="5"/>
        <v>61.706283333333324</v>
      </c>
      <c r="O23" s="167">
        <f t="shared" si="6"/>
        <v>0.79999999999999993</v>
      </c>
      <c r="P23" s="8">
        <f t="shared" si="1"/>
        <v>49.365026666666658</v>
      </c>
      <c r="Q23" s="148"/>
    </row>
    <row r="24" spans="1:17" x14ac:dyDescent="0.3">
      <c r="A24" t="s">
        <v>82</v>
      </c>
      <c r="B24" s="150">
        <f>D5/4</f>
        <v>15</v>
      </c>
      <c r="C24" s="153">
        <v>42</v>
      </c>
      <c r="D24" s="14">
        <f t="shared" si="7"/>
        <v>630</v>
      </c>
      <c r="E24" s="148"/>
      <c r="F24" s="17">
        <f t="shared" si="8"/>
        <v>0.25</v>
      </c>
      <c r="G24" s="50">
        <f t="shared" si="9"/>
        <v>42</v>
      </c>
      <c r="H24" s="8">
        <f t="shared" si="2"/>
        <v>10.5</v>
      </c>
      <c r="I24" s="148"/>
      <c r="J24" s="167">
        <f t="shared" si="3"/>
        <v>0.25</v>
      </c>
      <c r="K24" s="150">
        <f t="shared" si="4"/>
        <v>42</v>
      </c>
      <c r="L24" s="8">
        <f t="shared" si="0"/>
        <v>10.5</v>
      </c>
      <c r="M24" s="148"/>
      <c r="N24" s="167">
        <f t="shared" si="5"/>
        <v>0.25</v>
      </c>
      <c r="O24" s="150">
        <f t="shared" si="6"/>
        <v>42</v>
      </c>
      <c r="P24" s="8">
        <f t="shared" si="1"/>
        <v>10.5</v>
      </c>
      <c r="Q24" s="148"/>
    </row>
    <row r="25" spans="1:17" x14ac:dyDescent="0.3">
      <c r="A25" t="s">
        <v>4</v>
      </c>
      <c r="B25" s="150">
        <f>D5/4*4.5</f>
        <v>67.5</v>
      </c>
      <c r="C25" s="153">
        <v>42</v>
      </c>
      <c r="D25" s="14">
        <f t="shared" si="7"/>
        <v>2835</v>
      </c>
      <c r="E25" s="148"/>
      <c r="F25" s="17">
        <f t="shared" si="8"/>
        <v>1.125</v>
      </c>
      <c r="G25" s="50">
        <f t="shared" si="9"/>
        <v>42</v>
      </c>
      <c r="H25" s="8">
        <f t="shared" si="2"/>
        <v>47.25</v>
      </c>
      <c r="I25" s="148"/>
      <c r="J25" s="167">
        <f t="shared" si="3"/>
        <v>1.125</v>
      </c>
      <c r="K25" s="150">
        <f t="shared" si="4"/>
        <v>42</v>
      </c>
      <c r="L25" s="8">
        <f t="shared" si="0"/>
        <v>47.25</v>
      </c>
      <c r="M25" s="148"/>
      <c r="N25" s="167">
        <f t="shared" si="5"/>
        <v>1.125</v>
      </c>
      <c r="O25" s="150">
        <f t="shared" si="6"/>
        <v>42</v>
      </c>
      <c r="P25" s="8">
        <f t="shared" si="1"/>
        <v>47.25</v>
      </c>
      <c r="Q25" s="148"/>
    </row>
    <row r="26" spans="1:17" x14ac:dyDescent="0.3">
      <c r="A26" t="s">
        <v>279</v>
      </c>
      <c r="B26" s="150">
        <v>1</v>
      </c>
      <c r="C26" s="149">
        <v>2000</v>
      </c>
      <c r="D26" s="14">
        <f t="shared" si="7"/>
        <v>2000</v>
      </c>
      <c r="E26" s="148"/>
      <c r="F26" s="17">
        <f t="shared" si="8"/>
        <v>1.6666666666666666E-2</v>
      </c>
      <c r="G26" s="50">
        <f t="shared" si="9"/>
        <v>2000.0000000000002</v>
      </c>
      <c r="H26" s="8">
        <f t="shared" si="2"/>
        <v>33.333333333333336</v>
      </c>
      <c r="I26" s="148"/>
      <c r="J26" s="167">
        <f t="shared" si="3"/>
        <v>1.6666666666666666E-2</v>
      </c>
      <c r="K26" s="150">
        <f t="shared" si="4"/>
        <v>2000.0000000000002</v>
      </c>
      <c r="L26" s="8">
        <f>J26*K26</f>
        <v>33.333333333333336</v>
      </c>
      <c r="M26" s="148"/>
      <c r="N26" s="167">
        <f t="shared" si="5"/>
        <v>1.6666666666666666E-2</v>
      </c>
      <c r="O26" s="150">
        <f t="shared" si="6"/>
        <v>2000.0000000000002</v>
      </c>
      <c r="P26" s="8">
        <f>N26*O26</f>
        <v>33.333333333333336</v>
      </c>
      <c r="Q26" s="148"/>
    </row>
    <row r="27" spans="1:17" x14ac:dyDescent="0.3">
      <c r="A27" t="s">
        <v>83</v>
      </c>
      <c r="B27" s="150">
        <v>5</v>
      </c>
      <c r="C27" s="153">
        <v>150</v>
      </c>
      <c r="D27" s="14">
        <f t="shared" si="7"/>
        <v>750</v>
      </c>
      <c r="E27" s="148"/>
      <c r="F27" s="17">
        <f t="shared" si="8"/>
        <v>8.3333333333333329E-2</v>
      </c>
      <c r="G27" s="50">
        <f t="shared" si="9"/>
        <v>150</v>
      </c>
      <c r="H27" s="8">
        <f t="shared" si="2"/>
        <v>12.5</v>
      </c>
      <c r="I27" s="148"/>
      <c r="J27" s="167">
        <f t="shared" si="3"/>
        <v>8.3333333333333329E-2</v>
      </c>
      <c r="K27" s="150">
        <f t="shared" si="4"/>
        <v>150</v>
      </c>
      <c r="L27" s="8">
        <f t="shared" si="0"/>
        <v>12.5</v>
      </c>
      <c r="M27" s="148"/>
      <c r="N27" s="167">
        <f t="shared" si="5"/>
        <v>8.3333333333333329E-2</v>
      </c>
      <c r="O27" s="150">
        <f t="shared" si="6"/>
        <v>150</v>
      </c>
      <c r="P27" s="8">
        <f t="shared" si="1"/>
        <v>12.5</v>
      </c>
      <c r="Q27" s="148"/>
    </row>
    <row r="28" spans="1:17" x14ac:dyDescent="0.3">
      <c r="A28" s="20" t="s">
        <v>29</v>
      </c>
      <c r="B28" s="168">
        <f>D5</f>
        <v>60</v>
      </c>
      <c r="C28" s="169">
        <v>20</v>
      </c>
      <c r="D28" s="47">
        <f t="shared" si="7"/>
        <v>1200</v>
      </c>
      <c r="E28" s="172"/>
      <c r="F28" s="175">
        <f t="shared" si="8"/>
        <v>1</v>
      </c>
      <c r="G28" s="50">
        <f>H28/F28</f>
        <v>20</v>
      </c>
      <c r="H28" s="12">
        <f t="shared" si="2"/>
        <v>20</v>
      </c>
      <c r="I28" s="148"/>
      <c r="J28" s="176">
        <f t="shared" si="3"/>
        <v>1</v>
      </c>
      <c r="K28" s="150">
        <f t="shared" si="4"/>
        <v>20</v>
      </c>
      <c r="L28" s="12">
        <f t="shared" si="0"/>
        <v>20</v>
      </c>
      <c r="M28" s="148"/>
      <c r="N28" s="176">
        <f t="shared" si="5"/>
        <v>1</v>
      </c>
      <c r="O28" s="150">
        <f t="shared" si="6"/>
        <v>20</v>
      </c>
      <c r="P28" s="12">
        <f t="shared" si="1"/>
        <v>20</v>
      </c>
      <c r="Q28" s="148"/>
    </row>
    <row r="29" spans="1:17" x14ac:dyDescent="0.3">
      <c r="A29" s="6" t="s">
        <v>9</v>
      </c>
      <c r="B29" s="170">
        <f>(SUM(D19:D28)+D37+D38+D40)*0.4</f>
        <v>14089.76064</v>
      </c>
      <c r="C29" s="171">
        <f>D7</f>
        <v>0.04</v>
      </c>
      <c r="D29" s="19">
        <f>B29*C29</f>
        <v>563.5904256</v>
      </c>
      <c r="E29" s="173"/>
      <c r="F29" s="52">
        <f>B29/$D$5</f>
        <v>234.82934400000002</v>
      </c>
      <c r="G29" s="53">
        <f>H29/F29</f>
        <v>3.9999999999999994E-2</v>
      </c>
      <c r="H29" s="10">
        <f>D29/$D$5</f>
        <v>9.3931737599999998</v>
      </c>
      <c r="I29" s="173"/>
      <c r="J29" s="170">
        <f>(SUM(L19:L28)+L37+L38+L40)*0.4</f>
        <v>234.82934399999999</v>
      </c>
      <c r="K29" s="171">
        <f>L7</f>
        <v>0.04</v>
      </c>
      <c r="L29" s="10">
        <f t="shared" si="0"/>
        <v>9.3931737599999998</v>
      </c>
      <c r="M29" s="173"/>
      <c r="N29" s="170">
        <f>(SUM(P19:P28)+P37+P38+P40)*0.4</f>
        <v>234.82934399999999</v>
      </c>
      <c r="O29" s="171">
        <f>P7</f>
        <v>0.04</v>
      </c>
      <c r="P29" s="10">
        <f t="shared" si="1"/>
        <v>9.3931737599999998</v>
      </c>
      <c r="Q29" s="173"/>
    </row>
    <row r="30" spans="1:17" x14ac:dyDescent="0.3">
      <c r="A30" s="1" t="s">
        <v>10</v>
      </c>
      <c r="B30" s="174"/>
      <c r="C30" s="174"/>
      <c r="D30" s="48">
        <f>SUM(D19:D29)</f>
        <v>22077.992025599997</v>
      </c>
      <c r="E30" s="174"/>
      <c r="F30" s="26"/>
      <c r="G30" s="26"/>
      <c r="H30" s="13">
        <f>SUM(H19:H29)</f>
        <v>367.96653376</v>
      </c>
      <c r="I30" s="148"/>
      <c r="J30" s="174"/>
      <c r="K30" s="174"/>
      <c r="L30" s="13">
        <f>SUM(L19:L29)</f>
        <v>367.96653376</v>
      </c>
      <c r="M30" s="148"/>
      <c r="N30" s="174"/>
      <c r="O30" s="174"/>
      <c r="P30" s="13">
        <f>SUM(P19:P29)</f>
        <v>367.96653376</v>
      </c>
      <c r="Q30" s="148"/>
    </row>
    <row r="31" spans="1:17" x14ac:dyDescent="0.3">
      <c r="A31" s="11"/>
      <c r="B31" s="11"/>
      <c r="C31" s="11"/>
      <c r="D31" s="12"/>
      <c r="E31" s="11"/>
      <c r="F31" s="15"/>
      <c r="G31" s="15"/>
      <c r="H31" s="12"/>
      <c r="J31" s="11"/>
      <c r="K31" s="11"/>
      <c r="L31" s="12"/>
      <c r="N31" s="11"/>
      <c r="O31" s="11"/>
      <c r="P31" s="12"/>
    </row>
    <row r="32" spans="1:17" x14ac:dyDescent="0.3">
      <c r="A32" s="34" t="s">
        <v>233</v>
      </c>
      <c r="B32" s="35" t="s">
        <v>0</v>
      </c>
      <c r="C32" s="35" t="s">
        <v>1</v>
      </c>
      <c r="D32" s="44" t="s">
        <v>2</v>
      </c>
      <c r="E32" s="34"/>
      <c r="F32" s="45" t="s">
        <v>0</v>
      </c>
      <c r="G32" s="45" t="s">
        <v>1</v>
      </c>
      <c r="H32" s="44" t="s">
        <v>2</v>
      </c>
      <c r="I32" s="36"/>
      <c r="J32" s="35" t="s">
        <v>0</v>
      </c>
      <c r="K32" s="35" t="s">
        <v>1</v>
      </c>
      <c r="L32" s="44" t="s">
        <v>2</v>
      </c>
      <c r="M32" s="36"/>
      <c r="N32" s="35" t="s">
        <v>0</v>
      </c>
      <c r="O32" s="35" t="s">
        <v>1</v>
      </c>
      <c r="P32" s="44" t="s">
        <v>2</v>
      </c>
      <c r="Q32" s="36"/>
    </row>
    <row r="33" spans="1:17" x14ac:dyDescent="0.3">
      <c r="A33" s="11" t="s">
        <v>225</v>
      </c>
      <c r="B33" s="158">
        <f>'6. Työmenekki'!F26</f>
        <v>672</v>
      </c>
      <c r="C33" s="158">
        <v>17.8</v>
      </c>
      <c r="D33" s="47">
        <f>B33*C33</f>
        <v>11961.6</v>
      </c>
      <c r="E33" s="154"/>
      <c r="F33" s="15">
        <f t="shared" ref="F33:F40" si="19">B33/$D$5</f>
        <v>11.2</v>
      </c>
      <c r="G33" s="15">
        <f t="shared" ref="G33:G40" si="20">H33/F33</f>
        <v>17.8</v>
      </c>
      <c r="H33" s="12">
        <f t="shared" ref="H33:H40" si="21">D33/$D$5</f>
        <v>199.36</v>
      </c>
      <c r="I33" s="148"/>
      <c r="J33" s="183">
        <f t="shared" ref="J33:K40" si="22">F33</f>
        <v>11.2</v>
      </c>
      <c r="K33" s="177">
        <f t="shared" si="22"/>
        <v>17.8</v>
      </c>
      <c r="L33" s="12">
        <f t="shared" ref="L33:L40" si="23">J33*K33</f>
        <v>199.35999999999999</v>
      </c>
      <c r="M33" s="148"/>
      <c r="N33" s="183">
        <f t="shared" ref="N33:O38" si="24">J33</f>
        <v>11.2</v>
      </c>
      <c r="O33" s="177">
        <f t="shared" si="24"/>
        <v>17.8</v>
      </c>
      <c r="P33" s="12">
        <f t="shared" ref="P33:P40" si="25">N33*O33</f>
        <v>199.35999999999999</v>
      </c>
    </row>
    <row r="34" spans="1:17" x14ac:dyDescent="0.3">
      <c r="A34" s="11" t="s">
        <v>11</v>
      </c>
      <c r="B34" s="158">
        <f>'6. Työmenekki'!F25</f>
        <v>60</v>
      </c>
      <c r="C34" s="158">
        <v>20</v>
      </c>
      <c r="D34" s="47">
        <f>B34*C34</f>
        <v>1200</v>
      </c>
      <c r="E34" s="154"/>
      <c r="F34" s="7">
        <f t="shared" si="19"/>
        <v>1</v>
      </c>
      <c r="G34" s="15">
        <f t="shared" si="20"/>
        <v>20</v>
      </c>
      <c r="H34" s="12">
        <f t="shared" si="21"/>
        <v>20</v>
      </c>
      <c r="I34" s="154"/>
      <c r="J34" s="186">
        <f t="shared" si="22"/>
        <v>1</v>
      </c>
      <c r="K34" s="177">
        <f t="shared" si="22"/>
        <v>20</v>
      </c>
      <c r="L34" s="12">
        <f t="shared" si="23"/>
        <v>20</v>
      </c>
      <c r="M34" s="154"/>
      <c r="N34" s="186">
        <f t="shared" si="24"/>
        <v>1</v>
      </c>
      <c r="O34" s="177">
        <f t="shared" si="24"/>
        <v>20</v>
      </c>
      <c r="P34" s="12">
        <f t="shared" si="25"/>
        <v>20</v>
      </c>
      <c r="Q34" s="11"/>
    </row>
    <row r="35" spans="1:17" x14ac:dyDescent="0.3">
      <c r="A35" s="106" t="s">
        <v>231</v>
      </c>
      <c r="B35" s="178">
        <v>1</v>
      </c>
      <c r="C35" s="179">
        <v>0.2</v>
      </c>
      <c r="D35" s="108">
        <f>C35*D40</f>
        <v>0</v>
      </c>
      <c r="E35" s="178"/>
      <c r="F35" s="187">
        <f t="shared" si="19"/>
        <v>1.6666666666666666E-2</v>
      </c>
      <c r="G35" s="188">
        <f t="shared" si="20"/>
        <v>0</v>
      </c>
      <c r="H35" s="189">
        <f t="shared" si="21"/>
        <v>0</v>
      </c>
      <c r="I35" s="190"/>
      <c r="J35" s="191">
        <f t="shared" si="22"/>
        <v>1.6666666666666666E-2</v>
      </c>
      <c r="K35" s="192">
        <f t="shared" si="22"/>
        <v>0</v>
      </c>
      <c r="L35" s="193">
        <f t="shared" si="23"/>
        <v>0</v>
      </c>
      <c r="M35" s="190"/>
      <c r="N35" s="191">
        <f t="shared" si="24"/>
        <v>1.6666666666666666E-2</v>
      </c>
      <c r="O35" s="192">
        <f t="shared" si="24"/>
        <v>0</v>
      </c>
      <c r="P35" s="193">
        <f t="shared" si="25"/>
        <v>0</v>
      </c>
      <c r="Q35" s="107"/>
    </row>
    <row r="36" spans="1:17" x14ac:dyDescent="0.3">
      <c r="A36" s="2" t="s">
        <v>226</v>
      </c>
      <c r="B36" s="160">
        <v>1</v>
      </c>
      <c r="C36" s="208">
        <f>'3. Koneet'!Q4</f>
        <v>22674.333333333336</v>
      </c>
      <c r="D36" s="14">
        <f>B36*C36</f>
        <v>22674.333333333336</v>
      </c>
      <c r="E36" s="182"/>
      <c r="F36" s="109">
        <f t="shared" si="19"/>
        <v>1.6666666666666666E-2</v>
      </c>
      <c r="G36" s="25">
        <f t="shared" si="20"/>
        <v>22674.333333333339</v>
      </c>
      <c r="H36" s="12">
        <f t="shared" si="21"/>
        <v>377.90555555555562</v>
      </c>
      <c r="I36" s="148"/>
      <c r="J36" s="167">
        <f t="shared" si="22"/>
        <v>1.6666666666666666E-2</v>
      </c>
      <c r="K36" s="149">
        <f t="shared" si="22"/>
        <v>22674.333333333339</v>
      </c>
      <c r="L36" s="8">
        <f t="shared" si="23"/>
        <v>377.90555555555568</v>
      </c>
      <c r="M36" s="148"/>
      <c r="N36" s="167">
        <f t="shared" si="24"/>
        <v>1.6666666666666666E-2</v>
      </c>
      <c r="O36" s="149">
        <f t="shared" si="24"/>
        <v>22674.333333333339</v>
      </c>
      <c r="P36" s="8">
        <f t="shared" si="25"/>
        <v>377.90555555555568</v>
      </c>
    </row>
    <row r="37" spans="1:17" x14ac:dyDescent="0.3">
      <c r="A37" s="104" t="s">
        <v>196</v>
      </c>
      <c r="B37" s="153">
        <v>1</v>
      </c>
      <c r="C37" s="164">
        <f>'3. Koneet'!V4</f>
        <v>8430</v>
      </c>
      <c r="D37" s="14">
        <f>B37*C37</f>
        <v>8430</v>
      </c>
      <c r="E37" s="154"/>
      <c r="F37" s="109">
        <f t="shared" si="19"/>
        <v>1.6666666666666666E-2</v>
      </c>
      <c r="G37" s="25">
        <f t="shared" si="20"/>
        <v>8430</v>
      </c>
      <c r="H37" s="12">
        <f t="shared" si="21"/>
        <v>140.5</v>
      </c>
      <c r="I37" s="154"/>
      <c r="J37" s="167">
        <f t="shared" si="22"/>
        <v>1.6666666666666666E-2</v>
      </c>
      <c r="K37" s="149">
        <f t="shared" si="22"/>
        <v>8430</v>
      </c>
      <c r="L37" s="8">
        <f t="shared" si="23"/>
        <v>140.5</v>
      </c>
      <c r="M37" s="154"/>
      <c r="N37" s="167">
        <f t="shared" si="24"/>
        <v>1.6666666666666666E-2</v>
      </c>
      <c r="O37" s="149">
        <f t="shared" si="24"/>
        <v>8430</v>
      </c>
      <c r="P37" s="8">
        <f t="shared" si="25"/>
        <v>140.5</v>
      </c>
      <c r="Q37" s="11"/>
    </row>
    <row r="38" spans="1:17" x14ac:dyDescent="0.3">
      <c r="A38" s="11" t="s">
        <v>7</v>
      </c>
      <c r="B38" s="149">
        <f>D5*110</f>
        <v>6600</v>
      </c>
      <c r="C38" s="223">
        <v>0.8</v>
      </c>
      <c r="D38" s="47">
        <f>B38*C38</f>
        <v>5280</v>
      </c>
      <c r="E38" s="154"/>
      <c r="F38" s="111">
        <f t="shared" si="19"/>
        <v>110</v>
      </c>
      <c r="G38" s="109">
        <f t="shared" si="20"/>
        <v>0.8</v>
      </c>
      <c r="H38" s="12">
        <f t="shared" si="21"/>
        <v>88</v>
      </c>
      <c r="I38" s="148"/>
      <c r="J38" s="150">
        <f t="shared" si="22"/>
        <v>110</v>
      </c>
      <c r="K38" s="167">
        <f t="shared" si="22"/>
        <v>0.8</v>
      </c>
      <c r="L38" s="12">
        <f t="shared" si="23"/>
        <v>88</v>
      </c>
      <c r="M38" s="148"/>
      <c r="N38" s="150">
        <f t="shared" si="24"/>
        <v>110</v>
      </c>
      <c r="O38" s="165">
        <f t="shared" si="24"/>
        <v>0.8</v>
      </c>
      <c r="P38" s="12">
        <f t="shared" si="25"/>
        <v>88</v>
      </c>
    </row>
    <row r="39" spans="1:17" x14ac:dyDescent="0.3">
      <c r="A39" s="20" t="s">
        <v>384</v>
      </c>
      <c r="B39" s="149">
        <v>1</v>
      </c>
      <c r="C39" s="147">
        <v>0</v>
      </c>
      <c r="D39" s="47">
        <f>B39*C39</f>
        <v>0</v>
      </c>
      <c r="E39" s="154"/>
      <c r="F39" s="109">
        <f t="shared" ref="F39" si="26">B39/$D$5</f>
        <v>1.6666666666666666E-2</v>
      </c>
      <c r="G39" s="111">
        <f t="shared" ref="G39" si="27">H39/F39</f>
        <v>0</v>
      </c>
      <c r="H39" s="12">
        <f t="shared" ref="H39" si="28">D39/$D$5</f>
        <v>0</v>
      </c>
      <c r="I39" s="148"/>
      <c r="J39" s="167">
        <f t="shared" ref="J39" si="29">F39</f>
        <v>1.6666666666666666E-2</v>
      </c>
      <c r="K39" s="150">
        <f t="shared" ref="K39" si="30">G39</f>
        <v>0</v>
      </c>
      <c r="L39" s="12">
        <f t="shared" ref="L39" si="31">J39*K39</f>
        <v>0</v>
      </c>
      <c r="M39" s="148"/>
      <c r="N39" s="167">
        <f t="shared" ref="N39" si="32">J39</f>
        <v>1.6666666666666666E-2</v>
      </c>
      <c r="O39" s="149">
        <f t="shared" ref="O39" si="33">K39</f>
        <v>0</v>
      </c>
      <c r="P39" s="12">
        <f t="shared" ref="P39" si="34">N39*O39</f>
        <v>0</v>
      </c>
    </row>
    <row r="40" spans="1:17" x14ac:dyDescent="0.3">
      <c r="A40" s="6" t="s">
        <v>102</v>
      </c>
      <c r="B40" s="170">
        <v>1</v>
      </c>
      <c r="C40" s="170">
        <f>'4. Urakointi'!F19</f>
        <v>0</v>
      </c>
      <c r="D40" s="19">
        <f>B40*C40</f>
        <v>0</v>
      </c>
      <c r="E40" s="173"/>
      <c r="F40" s="110">
        <f t="shared" si="19"/>
        <v>1.6666666666666666E-2</v>
      </c>
      <c r="G40" s="54">
        <f t="shared" si="20"/>
        <v>0</v>
      </c>
      <c r="H40" s="10">
        <f t="shared" si="21"/>
        <v>0</v>
      </c>
      <c r="I40" s="173"/>
      <c r="J40" s="200">
        <f t="shared" si="22"/>
        <v>1.6666666666666666E-2</v>
      </c>
      <c r="K40" s="184">
        <f t="shared" si="22"/>
        <v>0</v>
      </c>
      <c r="L40" s="10">
        <f t="shared" si="23"/>
        <v>0</v>
      </c>
      <c r="M40" s="173"/>
      <c r="N40" s="200">
        <f>F40</f>
        <v>1.6666666666666666E-2</v>
      </c>
      <c r="O40" s="184">
        <f>G40</f>
        <v>0</v>
      </c>
      <c r="P40" s="10">
        <f t="shared" si="25"/>
        <v>0</v>
      </c>
      <c r="Q40" s="6"/>
    </row>
    <row r="41" spans="1:17" x14ac:dyDescent="0.3">
      <c r="A41" s="4" t="s">
        <v>232</v>
      </c>
      <c r="B41" s="180"/>
      <c r="C41" s="181"/>
      <c r="D41" s="39">
        <f>SUM(D36:D40)+D33+D34</f>
        <v>49545.933333333334</v>
      </c>
      <c r="E41" s="181"/>
      <c r="F41" s="185">
        <f>SUM(F33:F34)</f>
        <v>12.2</v>
      </c>
      <c r="G41" s="4"/>
      <c r="H41" s="39">
        <f>SUM(H36:H40)+H33+H34</f>
        <v>825.76555555555558</v>
      </c>
      <c r="I41" s="148"/>
      <c r="J41" s="185">
        <f>SUM(J33:J34)</f>
        <v>12.2</v>
      </c>
      <c r="K41" s="181"/>
      <c r="L41" s="39">
        <f>SUM(L36:L40)+L33+L34</f>
        <v>825.76555555555569</v>
      </c>
      <c r="M41" s="148"/>
      <c r="N41" s="185">
        <f>SUM(N33:N34)</f>
        <v>12.2</v>
      </c>
      <c r="O41" s="181"/>
      <c r="P41" s="39">
        <f>SUM(P36:P40)+P33+P34</f>
        <v>825.76555555555569</v>
      </c>
    </row>
    <row r="43" spans="1:17" x14ac:dyDescent="0.3">
      <c r="A43" s="34" t="s">
        <v>234</v>
      </c>
      <c r="B43" s="35" t="s">
        <v>0</v>
      </c>
      <c r="C43" s="35" t="s">
        <v>1</v>
      </c>
      <c r="D43" s="44" t="s">
        <v>2</v>
      </c>
      <c r="E43" s="34"/>
      <c r="F43" s="35" t="s">
        <v>0</v>
      </c>
      <c r="G43" s="35" t="s">
        <v>1</v>
      </c>
      <c r="H43" s="44" t="s">
        <v>2</v>
      </c>
      <c r="I43" s="36"/>
      <c r="J43" s="35" t="s">
        <v>0</v>
      </c>
      <c r="K43" s="35" t="s">
        <v>1</v>
      </c>
      <c r="L43" s="44" t="s">
        <v>2</v>
      </c>
      <c r="M43" s="36"/>
      <c r="N43" s="35" t="s">
        <v>0</v>
      </c>
      <c r="O43" s="35" t="s">
        <v>1</v>
      </c>
      <c r="P43" s="44" t="s">
        <v>2</v>
      </c>
      <c r="Q43" s="36"/>
    </row>
    <row r="44" spans="1:17" x14ac:dyDescent="0.3">
      <c r="A44" t="s">
        <v>333</v>
      </c>
      <c r="B44" s="281">
        <v>1</v>
      </c>
      <c r="C44" s="208">
        <f>'5. Rakennukset'!M4</f>
        <v>11004</v>
      </c>
      <c r="D44" s="14">
        <f>C44*B44</f>
        <v>11004</v>
      </c>
      <c r="E44" s="148"/>
      <c r="F44" s="77">
        <f>B44/$D$5</f>
        <v>1.6666666666666666E-2</v>
      </c>
      <c r="G44" s="14">
        <f>H44/F44</f>
        <v>11004</v>
      </c>
      <c r="H44" s="8">
        <f>D44/$D$5</f>
        <v>183.4</v>
      </c>
      <c r="I44" s="148"/>
      <c r="J44" s="167">
        <f t="shared" ref="J44:K47" si="35">F44</f>
        <v>1.6666666666666666E-2</v>
      </c>
      <c r="K44" s="149">
        <f t="shared" si="35"/>
        <v>11004</v>
      </c>
      <c r="L44" s="8">
        <f>K44*J44</f>
        <v>183.4</v>
      </c>
      <c r="M44" s="148"/>
      <c r="N44" s="167">
        <f t="shared" ref="N44:O47" si="36">J44</f>
        <v>1.6666666666666666E-2</v>
      </c>
      <c r="O44" s="149">
        <f t="shared" si="36"/>
        <v>11004</v>
      </c>
      <c r="P44" s="8">
        <f>O44*N44</f>
        <v>183.4</v>
      </c>
    </row>
    <row r="45" spans="1:17" x14ac:dyDescent="0.3">
      <c r="A45" s="76" t="s">
        <v>12</v>
      </c>
      <c r="B45" s="282">
        <f>'1. Pelto'!E16</f>
        <v>16</v>
      </c>
      <c r="C45" s="208">
        <f>'1. Pelto'!E20</f>
        <v>5250</v>
      </c>
      <c r="D45" s="14">
        <f>B45*C45*D7</f>
        <v>3360</v>
      </c>
      <c r="E45" s="148"/>
      <c r="F45" s="77">
        <f>B45/$D$5</f>
        <v>0.26666666666666666</v>
      </c>
      <c r="G45" s="14">
        <f>H45/F45</f>
        <v>210</v>
      </c>
      <c r="H45" s="8">
        <f>D45/$D$5</f>
        <v>56</v>
      </c>
      <c r="I45" s="148"/>
      <c r="J45" s="167">
        <f t="shared" si="35"/>
        <v>0.26666666666666666</v>
      </c>
      <c r="K45" s="149">
        <f t="shared" si="35"/>
        <v>210</v>
      </c>
      <c r="L45" s="8">
        <f>J45*K45</f>
        <v>56</v>
      </c>
      <c r="M45" s="148"/>
      <c r="N45" s="167">
        <f t="shared" si="36"/>
        <v>0.26666666666666666</v>
      </c>
      <c r="O45" s="149">
        <f t="shared" si="36"/>
        <v>210</v>
      </c>
      <c r="P45" s="8">
        <f>N45*O45</f>
        <v>56</v>
      </c>
    </row>
    <row r="46" spans="1:17" x14ac:dyDescent="0.3">
      <c r="A46" s="76" t="s">
        <v>13</v>
      </c>
      <c r="B46" s="282">
        <f>'1. Pelto'!E17</f>
        <v>24</v>
      </c>
      <c r="C46" s="208">
        <f>'1. Pelto'!E21</f>
        <v>171</v>
      </c>
      <c r="D46" s="14">
        <f>B46*C46</f>
        <v>4104</v>
      </c>
      <c r="E46" s="148"/>
      <c r="F46" s="77">
        <f>B46/$D$5</f>
        <v>0.4</v>
      </c>
      <c r="G46" s="14">
        <f>H46/F46</f>
        <v>171</v>
      </c>
      <c r="H46" s="8">
        <f>D46/$D$5</f>
        <v>68.400000000000006</v>
      </c>
      <c r="I46" s="148"/>
      <c r="J46" s="167">
        <f t="shared" si="35"/>
        <v>0.4</v>
      </c>
      <c r="K46" s="150">
        <f t="shared" si="35"/>
        <v>171</v>
      </c>
      <c r="L46" s="8">
        <f>J46*K46</f>
        <v>68.400000000000006</v>
      </c>
      <c r="M46" s="148"/>
      <c r="N46" s="167">
        <f t="shared" si="36"/>
        <v>0.4</v>
      </c>
      <c r="O46" s="150">
        <f t="shared" si="36"/>
        <v>171</v>
      </c>
      <c r="P46" s="8">
        <f>N46*O46</f>
        <v>68.400000000000006</v>
      </c>
    </row>
    <row r="47" spans="1:17" x14ac:dyDescent="0.3">
      <c r="A47" s="6" t="s">
        <v>5</v>
      </c>
      <c r="B47" s="184">
        <f>D5</f>
        <v>60</v>
      </c>
      <c r="C47" s="155">
        <v>35</v>
      </c>
      <c r="D47" s="19">
        <f>B47*C47</f>
        <v>2100</v>
      </c>
      <c r="E47" s="173"/>
      <c r="F47" s="199">
        <f>B47/$D$5</f>
        <v>1</v>
      </c>
      <c r="G47" s="19">
        <f>H47/F47</f>
        <v>35</v>
      </c>
      <c r="H47" s="10">
        <f>D47/$D$5</f>
        <v>35</v>
      </c>
      <c r="I47" s="173"/>
      <c r="J47" s="200">
        <f t="shared" si="35"/>
        <v>1</v>
      </c>
      <c r="K47" s="184">
        <f t="shared" si="35"/>
        <v>35</v>
      </c>
      <c r="L47" s="10">
        <f>J47*K47</f>
        <v>35</v>
      </c>
      <c r="M47" s="173"/>
      <c r="N47" s="200">
        <f t="shared" si="36"/>
        <v>1</v>
      </c>
      <c r="O47" s="184">
        <f t="shared" si="36"/>
        <v>35</v>
      </c>
      <c r="P47" s="10">
        <f>N47*O47</f>
        <v>35</v>
      </c>
      <c r="Q47" s="6"/>
    </row>
    <row r="48" spans="1:17" x14ac:dyDescent="0.3">
      <c r="A48" s="4" t="s">
        <v>15</v>
      </c>
      <c r="B48" s="181"/>
      <c r="C48" s="181"/>
      <c r="D48" s="39">
        <f>SUM(D44:D47)</f>
        <v>20568</v>
      </c>
      <c r="E48" s="194"/>
      <c r="F48" s="39"/>
      <c r="G48" s="39"/>
      <c r="H48" s="39">
        <f>SUM(H44:H47)</f>
        <v>342.8</v>
      </c>
      <c r="I48" s="195"/>
      <c r="J48" s="194"/>
      <c r="K48" s="194"/>
      <c r="L48" s="39">
        <f>SUM(L44:L47)</f>
        <v>342.8</v>
      </c>
      <c r="M48" s="195"/>
      <c r="N48" s="194"/>
      <c r="O48" s="194"/>
      <c r="P48" s="39">
        <f>SUM(P44:P47)</f>
        <v>342.8</v>
      </c>
      <c r="Q48" s="14"/>
    </row>
    <row r="49" spans="1:18" x14ac:dyDescent="0.3">
      <c r="D49" s="14"/>
      <c r="E49" s="14"/>
      <c r="F49" s="14"/>
      <c r="G49" s="14"/>
      <c r="H49" s="14"/>
      <c r="I49" s="14"/>
      <c r="J49" s="14"/>
      <c r="K49" s="14"/>
      <c r="L49" s="14"/>
      <c r="M49" s="14"/>
      <c r="N49" s="14"/>
      <c r="O49" s="14"/>
      <c r="P49" s="14"/>
      <c r="Q49" s="14"/>
    </row>
    <row r="50" spans="1:18" x14ac:dyDescent="0.3">
      <c r="A50" s="55" t="s">
        <v>16</v>
      </c>
      <c r="B50" s="55"/>
      <c r="C50" s="55" t="s">
        <v>2</v>
      </c>
      <c r="D50" s="56">
        <f>D30+D41+D48</f>
        <v>92191.925358933338</v>
      </c>
      <c r="E50" s="56"/>
      <c r="F50" s="56"/>
      <c r="G50" s="56" t="s">
        <v>28</v>
      </c>
      <c r="H50" s="56">
        <f>H30+H41+H48</f>
        <v>1536.5320893155556</v>
      </c>
      <c r="I50" s="56"/>
      <c r="J50" s="56"/>
      <c r="K50" s="56" t="s">
        <v>28</v>
      </c>
      <c r="L50" s="56">
        <f>L30+L41+L48</f>
        <v>1536.5320893155556</v>
      </c>
      <c r="M50" s="56"/>
      <c r="N50" s="56"/>
      <c r="O50" s="56" t="s">
        <v>28</v>
      </c>
      <c r="P50" s="56">
        <f>P30+P41+P48</f>
        <v>1536.5320893155556</v>
      </c>
      <c r="Q50" s="56"/>
    </row>
    <row r="51" spans="1:18" x14ac:dyDescent="0.3">
      <c r="A51" s="55" t="s">
        <v>389</v>
      </c>
      <c r="B51" s="55"/>
      <c r="C51" s="55" t="s">
        <v>2</v>
      </c>
      <c r="D51" s="56">
        <f>D16</f>
        <v>22920</v>
      </c>
      <c r="E51" s="56"/>
      <c r="F51" s="56"/>
      <c r="G51" s="56" t="s">
        <v>28</v>
      </c>
      <c r="H51" s="56">
        <f>H16</f>
        <v>382</v>
      </c>
      <c r="I51" s="56"/>
      <c r="J51" s="56"/>
      <c r="K51" s="56" t="s">
        <v>28</v>
      </c>
      <c r="L51" s="56">
        <f>L16</f>
        <v>382</v>
      </c>
      <c r="M51" s="56"/>
      <c r="N51" s="56"/>
      <c r="O51" s="56" t="s">
        <v>28</v>
      </c>
      <c r="P51" s="56">
        <f>P16</f>
        <v>382</v>
      </c>
      <c r="Q51" s="56"/>
    </row>
    <row r="52" spans="1:18" x14ac:dyDescent="0.3">
      <c r="A52" s="55" t="s">
        <v>118</v>
      </c>
      <c r="B52" s="55"/>
      <c r="C52" s="55" t="s">
        <v>2</v>
      </c>
      <c r="D52" s="56">
        <f>D50-D51</f>
        <v>69271.925358933338</v>
      </c>
      <c r="E52" s="56"/>
      <c r="F52" s="56"/>
      <c r="G52" s="56" t="s">
        <v>28</v>
      </c>
      <c r="H52" s="56">
        <f>H50-H51</f>
        <v>1154.5320893155556</v>
      </c>
      <c r="I52" s="56"/>
      <c r="J52" s="56"/>
      <c r="K52" s="56" t="s">
        <v>28</v>
      </c>
      <c r="L52" s="56">
        <f>L50-L51</f>
        <v>1154.5320893155556</v>
      </c>
      <c r="M52" s="56"/>
      <c r="N52" s="56"/>
      <c r="O52" s="56" t="s">
        <v>28</v>
      </c>
      <c r="P52" s="56">
        <f>P50-P51</f>
        <v>1154.5320893155556</v>
      </c>
      <c r="Q52" s="56"/>
    </row>
    <row r="54" spans="1:18" x14ac:dyDescent="0.3">
      <c r="A54" s="34" t="s">
        <v>22</v>
      </c>
      <c r="B54" s="34"/>
      <c r="C54" s="34" t="s">
        <v>19</v>
      </c>
      <c r="D54" s="34" t="s">
        <v>20</v>
      </c>
      <c r="E54" s="34"/>
      <c r="F54" s="34"/>
      <c r="G54" s="34" t="s">
        <v>19</v>
      </c>
      <c r="H54" s="34" t="s">
        <v>20</v>
      </c>
      <c r="I54" s="36"/>
      <c r="J54" s="34"/>
      <c r="K54" s="34" t="s">
        <v>19</v>
      </c>
      <c r="L54" s="34" t="s">
        <v>20</v>
      </c>
      <c r="M54" s="36"/>
      <c r="N54" s="34"/>
      <c r="O54" s="34" t="s">
        <v>19</v>
      </c>
      <c r="P54" s="34" t="s">
        <v>20</v>
      </c>
      <c r="Q54" s="36"/>
    </row>
    <row r="55" spans="1:18" x14ac:dyDescent="0.3">
      <c r="A55" t="s">
        <v>21</v>
      </c>
      <c r="C55" s="8">
        <f>D52/(D8/1000)</f>
        <v>65.485426998997326</v>
      </c>
      <c r="D55" s="8">
        <f>D50/(D8/1000)</f>
        <v>87.152588392880233</v>
      </c>
      <c r="G55" s="8">
        <f>H52/(H8/1000)</f>
        <v>65.485426998997326</v>
      </c>
      <c r="H55" s="8">
        <f>H50/(H8/1000)</f>
        <v>87.152588392880233</v>
      </c>
      <c r="K55" s="8">
        <f>L52/(L8/1000)</f>
        <v>58.599743492431081</v>
      </c>
      <c r="L55" s="8">
        <f>L50/(L8/1000)</f>
        <v>77.988638977682854</v>
      </c>
      <c r="O55" s="8">
        <f>P52/(P8/1000)</f>
        <v>45.577578271890836</v>
      </c>
      <c r="P55" s="8">
        <f>P50/(P8/1000)</f>
        <v>60.657830315975545</v>
      </c>
    </row>
    <row r="56" spans="1:18" x14ac:dyDescent="0.3">
      <c r="A56" t="s">
        <v>410</v>
      </c>
      <c r="C56" s="268">
        <f>D52/D9*100</f>
        <v>18.431340272392401</v>
      </c>
      <c r="D56" s="9">
        <f>D50/D9*100</f>
        <v>24.529717311204632</v>
      </c>
      <c r="G56" s="268">
        <f>H52/H9*100</f>
        <v>18.431340272392401</v>
      </c>
      <c r="H56" s="9">
        <f>H50/H9*100</f>
        <v>24.529717311204632</v>
      </c>
      <c r="K56" s="268">
        <f>L52/L9*100</f>
        <v>16.493315561650796</v>
      </c>
      <c r="L56" s="9">
        <f>L50/L9*100</f>
        <v>21.950458418793652</v>
      </c>
      <c r="O56" s="268">
        <f>P52/P9*100</f>
        <v>12.828134325728396</v>
      </c>
      <c r="P56" s="9">
        <f>P50/P9*100</f>
        <v>17.072578770172839</v>
      </c>
    </row>
    <row r="57" spans="1:18" x14ac:dyDescent="0.3">
      <c r="A57" s="11" t="s">
        <v>430</v>
      </c>
      <c r="B57" s="11"/>
      <c r="C57" s="271">
        <f>D52*100/D11</f>
        <v>1.7217108333625406</v>
      </c>
      <c r="D57" s="271">
        <f>D50*100/D11</f>
        <v>2.2913732484924592</v>
      </c>
      <c r="E57" s="11"/>
      <c r="F57" s="11"/>
      <c r="G57" s="271">
        <f>H52*100/H11</f>
        <v>1.7217108333625404</v>
      </c>
      <c r="H57" s="271">
        <f>H50*100/H11</f>
        <v>2.2913732484924592</v>
      </c>
      <c r="I57" s="11"/>
      <c r="J57" s="11"/>
      <c r="K57" s="271">
        <f>L52*100/L11</f>
        <v>1.540675808752525</v>
      </c>
      <c r="L57" s="271">
        <f>L50*100/L11</f>
        <v>2.0504391703688913</v>
      </c>
      <c r="M57" s="11"/>
      <c r="N57" s="11"/>
      <c r="O57" s="271">
        <f>P52*100/P11</f>
        <v>1.1983034068075193</v>
      </c>
      <c r="P57" s="271">
        <f>P50*100/P11</f>
        <v>1.5947860213980265</v>
      </c>
      <c r="Q57" s="11"/>
    </row>
    <row r="58" spans="1:18" x14ac:dyDescent="0.3">
      <c r="A58" s="6" t="s">
        <v>408</v>
      </c>
      <c r="B58" s="6"/>
      <c r="C58" s="272">
        <f>(0.86*12.9)/(C9*C11)*C55</f>
        <v>191.00659985324026</v>
      </c>
      <c r="D58" s="10">
        <f>(0.86*12.9)/(C9*C11)*D55</f>
        <v>254.20494818775344</v>
      </c>
      <c r="E58" s="6"/>
      <c r="F58" s="6"/>
      <c r="G58" s="272">
        <f>(0.86*12.9)/(G9*G11)*G55</f>
        <v>191.00659985324026</v>
      </c>
      <c r="H58" s="10">
        <f>(0.86*12.9)/(G9*G11)*H55</f>
        <v>254.20494818775344</v>
      </c>
      <c r="I58" s="6"/>
      <c r="J58" s="6"/>
      <c r="K58" s="272">
        <f>(0.86*12.9)/(K9*K11)*K55</f>
        <v>170.92257422300511</v>
      </c>
      <c r="L58" s="10">
        <f>(0.86*12.9)/(K9*K11)*L55</f>
        <v>227.47572156072479</v>
      </c>
      <c r="M58" s="6"/>
      <c r="N58" s="6"/>
      <c r="O58" s="272">
        <f>(0.86*12.9)/(O9*O11)*O55</f>
        <v>132.93977995122617</v>
      </c>
      <c r="P58" s="10">
        <f>(0.86*12.9)/(O9*O11)*P55</f>
        <v>176.92556121389703</v>
      </c>
      <c r="Q58" s="6"/>
      <c r="R58" t="s">
        <v>409</v>
      </c>
    </row>
    <row r="59" spans="1:18" x14ac:dyDescent="0.3">
      <c r="O59" s="8"/>
      <c r="P59" s="8"/>
    </row>
  </sheetData>
  <sheetProtection sheet="1" objects="1" scenarios="1"/>
  <dataConsolidate link="1"/>
  <mergeCells count="4">
    <mergeCell ref="F4:H4"/>
    <mergeCell ref="J4:L4"/>
    <mergeCell ref="N4:P4"/>
    <mergeCell ref="B4:D4"/>
  </mergeCells>
  <dataValidations count="1">
    <dataValidation type="list" errorStyle="information" allowBlank="1" showInputMessage="1" showErrorMessage="1" errorTitle="Valitse pudotusvalikosta" promptTitle="Valitse pudotusvalikosta" prompt="Valitse tukialua pudotusvalikosta. Pudotusvalikko avautuu tuosta solun oikealla puolella olevasta nuoli alaspäin -kuvakkeesta" sqref="H6 L6" xr:uid="{00000000-0002-0000-0500-000000000000}">
      <formula1>Tukialue</formula1>
    </dataValidation>
  </dataValidations>
  <printOptions horizontalCentered="1"/>
  <pageMargins left="0.39370078740157483" right="0.39370078740157483" top="0.39370078740157483" bottom="0.78740157480314965" header="0.31496062992125984" footer="0.19685039370078741"/>
  <pageSetup paperSize="9" scale="88" orientation="portrait" r:id="rId1"/>
  <headerFooter>
    <oddHeader>&amp;R&amp;D</oddHeader>
    <oddFooter>&amp;L&amp;G&amp;C&amp;G&amp;R&amp;G</oddFooter>
  </headerFooter>
  <colBreaks count="1" manualBreakCount="1">
    <brk id="9" max="1048575" man="1"/>
  </colBreaks>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7">
    <tabColor rgb="FF92D050"/>
  </sheetPr>
  <dimension ref="A1:G80"/>
  <sheetViews>
    <sheetView zoomScale="120" zoomScaleNormal="120" workbookViewId="0">
      <selection activeCell="C5" sqref="C5"/>
    </sheetView>
  </sheetViews>
  <sheetFormatPr defaultRowHeight="14.4" x14ac:dyDescent="0.3"/>
  <cols>
    <col min="1" max="1" width="1.5546875" customWidth="1"/>
    <col min="2" max="2" width="29.33203125" customWidth="1"/>
    <col min="4" max="4" width="9.44140625" bestFit="1" customWidth="1"/>
  </cols>
  <sheetData>
    <row r="1" spans="2:7" x14ac:dyDescent="0.3">
      <c r="B1" s="28" t="s">
        <v>239</v>
      </c>
    </row>
    <row r="2" spans="2:7" x14ac:dyDescent="0.3">
      <c r="B2" s="57" t="s">
        <v>295</v>
      </c>
    </row>
    <row r="4" spans="2:7" ht="15.6" x14ac:dyDescent="0.3">
      <c r="B4" s="265" t="s">
        <v>216</v>
      </c>
      <c r="C4" s="36"/>
      <c r="D4" s="36"/>
      <c r="E4" s="36"/>
      <c r="F4" s="36"/>
      <c r="G4" s="36"/>
    </row>
    <row r="5" spans="2:7" x14ac:dyDescent="0.3">
      <c r="B5" t="s">
        <v>238</v>
      </c>
      <c r="C5" s="177" t="s">
        <v>404</v>
      </c>
      <c r="D5" s="154"/>
      <c r="E5" s="148"/>
    </row>
    <row r="6" spans="2:7" x14ac:dyDescent="0.3">
      <c r="B6" t="s">
        <v>217</v>
      </c>
      <c r="C6" s="177">
        <v>2021</v>
      </c>
      <c r="D6" s="154"/>
      <c r="E6" s="148"/>
    </row>
    <row r="7" spans="2:7" x14ac:dyDescent="0.3">
      <c r="B7" t="s">
        <v>199</v>
      </c>
      <c r="C7" s="153" t="s">
        <v>213</v>
      </c>
      <c r="D7" s="148"/>
      <c r="E7" s="148"/>
    </row>
    <row r="8" spans="2:7" x14ac:dyDescent="0.3">
      <c r="B8" t="s">
        <v>200</v>
      </c>
      <c r="C8" s="153" t="str">
        <f>'1. Pelto'!E5</f>
        <v>Säilörehu</v>
      </c>
      <c r="D8" s="148"/>
      <c r="E8" s="148"/>
    </row>
    <row r="9" spans="2:7" x14ac:dyDescent="0.3">
      <c r="B9" t="s">
        <v>292</v>
      </c>
      <c r="C9" s="153" t="s">
        <v>291</v>
      </c>
      <c r="D9" s="148"/>
      <c r="E9" s="148"/>
    </row>
    <row r="10" spans="2:7" x14ac:dyDescent="0.3">
      <c r="B10" t="s">
        <v>197</v>
      </c>
      <c r="C10" s="153" t="s">
        <v>205</v>
      </c>
      <c r="D10" s="148"/>
      <c r="E10" s="148"/>
    </row>
    <row r="11" spans="2:7" x14ac:dyDescent="0.3">
      <c r="B11" t="s">
        <v>198</v>
      </c>
      <c r="C11" s="153" t="s">
        <v>208</v>
      </c>
    </row>
    <row r="13" spans="2:7" x14ac:dyDescent="0.3">
      <c r="B13" t="s">
        <v>241</v>
      </c>
      <c r="C13" s="14">
        <f>'7. Laskelma'!D5</f>
        <v>60</v>
      </c>
      <c r="D13" t="s">
        <v>84</v>
      </c>
    </row>
    <row r="14" spans="2:7" x14ac:dyDescent="0.3">
      <c r="B14" t="s">
        <v>201</v>
      </c>
      <c r="C14" s="14">
        <f>'7. Laskelma'!H9</f>
        <v>6263.961666666667</v>
      </c>
      <c r="D14" t="s">
        <v>211</v>
      </c>
    </row>
    <row r="15" spans="2:7" x14ac:dyDescent="0.3">
      <c r="B15" t="s">
        <v>202</v>
      </c>
      <c r="C15" s="8">
        <f>'7. Laskelma'!D10</f>
        <v>669.07795705433489</v>
      </c>
      <c r="D15" t="s">
        <v>107</v>
      </c>
    </row>
    <row r="16" spans="2:7" x14ac:dyDescent="0.3">
      <c r="C16" s="8"/>
    </row>
    <row r="17" spans="2:7" x14ac:dyDescent="0.3">
      <c r="B17" t="s">
        <v>293</v>
      </c>
      <c r="C17" s="8">
        <f>'7. Laskelma'!H30</f>
        <v>367.96653376</v>
      </c>
      <c r="D17" t="s">
        <v>28</v>
      </c>
      <c r="E17" s="283">
        <f>C17/$C$14*100</f>
        <v>5.8743420432809161</v>
      </c>
      <c r="F17" s="74" t="s">
        <v>413</v>
      </c>
      <c r="G17" s="114">
        <f>E17/$E$21</f>
        <v>0.239478587084966</v>
      </c>
    </row>
    <row r="18" spans="2:7" x14ac:dyDescent="0.3">
      <c r="B18" t="s">
        <v>242</v>
      </c>
      <c r="C18" s="8">
        <f>'7. Laskelma'!H33+'7. Laskelma'!H34+'7. Laskelma'!H35</f>
        <v>219.36</v>
      </c>
      <c r="D18" t="s">
        <v>28</v>
      </c>
      <c r="E18" s="283">
        <f t="shared" ref="E18:E23" si="0">C18/$C$14*100</f>
        <v>3.5019371393556313</v>
      </c>
      <c r="F18" s="74" t="s">
        <v>413</v>
      </c>
      <c r="G18" s="114">
        <f>E18/$E$21</f>
        <v>0.14276304512306889</v>
      </c>
    </row>
    <row r="19" spans="2:7" x14ac:dyDescent="0.3">
      <c r="B19" t="s">
        <v>236</v>
      </c>
      <c r="C19" s="8">
        <f>'7. Laskelma'!H41-Yhteenveto!C18</f>
        <v>606.40555555555557</v>
      </c>
      <c r="D19" t="s">
        <v>28</v>
      </c>
      <c r="E19" s="283">
        <f t="shared" si="0"/>
        <v>9.6808631314350144</v>
      </c>
      <c r="F19" s="74" t="s">
        <v>413</v>
      </c>
      <c r="G19" s="114">
        <f>E19/$E$21</f>
        <v>0.39465856897637425</v>
      </c>
    </row>
    <row r="20" spans="2:7" x14ac:dyDescent="0.3">
      <c r="B20" t="s">
        <v>235</v>
      </c>
      <c r="C20" s="8">
        <f>'7. Laskelma'!H48</f>
        <v>342.8</v>
      </c>
      <c r="D20" t="s">
        <v>28</v>
      </c>
      <c r="E20" s="283">
        <f t="shared" si="0"/>
        <v>5.4725749971330711</v>
      </c>
      <c r="F20" s="74" t="s">
        <v>413</v>
      </c>
      <c r="G20" s="114">
        <f>E20/$E$21</f>
        <v>0.22309979881559092</v>
      </c>
    </row>
    <row r="21" spans="2:7" x14ac:dyDescent="0.3">
      <c r="B21" t="s">
        <v>237</v>
      </c>
      <c r="C21" s="8">
        <f>SUM(C17:C20)</f>
        <v>1536.5320893155556</v>
      </c>
      <c r="D21" t="s">
        <v>28</v>
      </c>
      <c r="E21" s="283">
        <f t="shared" si="0"/>
        <v>24.529717311204632</v>
      </c>
      <c r="F21" s="74" t="s">
        <v>413</v>
      </c>
      <c r="G21" s="114">
        <f>E21/$E$21</f>
        <v>1</v>
      </c>
    </row>
    <row r="22" spans="2:7" x14ac:dyDescent="0.3">
      <c r="B22" t="s">
        <v>6</v>
      </c>
      <c r="C22" s="8">
        <f>'7. Laskelma'!H16</f>
        <v>382</v>
      </c>
      <c r="D22" t="s">
        <v>28</v>
      </c>
      <c r="E22" s="283">
        <f t="shared" si="0"/>
        <v>6.0983770388122318</v>
      </c>
      <c r="F22" s="74" t="s">
        <v>413</v>
      </c>
    </row>
    <row r="23" spans="2:7" x14ac:dyDescent="0.3">
      <c r="B23" t="s">
        <v>204</v>
      </c>
      <c r="C23" s="8">
        <f>C21-C22</f>
        <v>1154.5320893155556</v>
      </c>
      <c r="D23" t="s">
        <v>28</v>
      </c>
      <c r="E23" s="283">
        <f t="shared" si="0"/>
        <v>18.431340272392401</v>
      </c>
      <c r="F23" s="74" t="s">
        <v>413</v>
      </c>
    </row>
    <row r="24" spans="2:7" x14ac:dyDescent="0.3">
      <c r="C24" s="8"/>
    </row>
    <row r="25" spans="2:7" x14ac:dyDescent="0.3">
      <c r="B25" t="s">
        <v>203</v>
      </c>
      <c r="C25" s="9">
        <f>'7. Laskelma'!D56</f>
        <v>24.529717311204632</v>
      </c>
      <c r="D25" t="s">
        <v>413</v>
      </c>
      <c r="E25" s="112"/>
      <c r="F25" s="74"/>
    </row>
    <row r="26" spans="2:7" x14ac:dyDescent="0.3">
      <c r="B26" s="16" t="s">
        <v>6</v>
      </c>
      <c r="C26" s="49">
        <f>E22</f>
        <v>6.0983770388122318</v>
      </c>
      <c r="D26" s="16" t="s">
        <v>413</v>
      </c>
    </row>
    <row r="27" spans="2:7" x14ac:dyDescent="0.3">
      <c r="B27" t="s">
        <v>204</v>
      </c>
      <c r="C27" s="9">
        <f>'7. Laskelma'!C56</f>
        <v>18.431340272392401</v>
      </c>
      <c r="D27" t="s">
        <v>413</v>
      </c>
      <c r="E27" s="112"/>
      <c r="F27" s="74"/>
    </row>
    <row r="28" spans="2:7" x14ac:dyDescent="0.3">
      <c r="B28" t="s">
        <v>204</v>
      </c>
      <c r="C28" s="9">
        <f>'7. Laskelma'!C57</f>
        <v>1.7217108333625406</v>
      </c>
      <c r="D28" t="s">
        <v>463</v>
      </c>
      <c r="E28" t="s">
        <v>480</v>
      </c>
    </row>
    <row r="29" spans="2:7" x14ac:dyDescent="0.3">
      <c r="B29" t="s">
        <v>408</v>
      </c>
      <c r="C29" s="8">
        <f>'7. Laskelma'!C58</f>
        <v>191.00659985324026</v>
      </c>
      <c r="D29" t="s">
        <v>478</v>
      </c>
      <c r="E29" t="s">
        <v>479</v>
      </c>
    </row>
    <row r="30" spans="2:7" x14ac:dyDescent="0.3">
      <c r="C30" s="9"/>
    </row>
    <row r="31" spans="2:7" x14ac:dyDescent="0.3">
      <c r="B31" t="s">
        <v>363</v>
      </c>
      <c r="C31" s="9">
        <f>'6. Työmenekki'!F28</f>
        <v>12.2</v>
      </c>
      <c r="D31" t="s">
        <v>364</v>
      </c>
    </row>
    <row r="32" spans="2:7" s="16" customFormat="1" x14ac:dyDescent="0.3">
      <c r="B32" t="s">
        <v>365</v>
      </c>
      <c r="C32" s="14">
        <f>Pääoma!C24</f>
        <v>6917.7460106666658</v>
      </c>
      <c r="D32" t="s">
        <v>28</v>
      </c>
      <c r="E32"/>
      <c r="F32"/>
      <c r="G32"/>
    </row>
    <row r="33" spans="1:7" s="16" customFormat="1" x14ac:dyDescent="0.3">
      <c r="B33" t="s">
        <v>366</v>
      </c>
      <c r="C33" s="14">
        <f>Pääoma!C21</f>
        <v>2626.6944444444443</v>
      </c>
      <c r="D33" t="s">
        <v>28</v>
      </c>
      <c r="E33"/>
      <c r="F33"/>
      <c r="G33"/>
    </row>
    <row r="34" spans="1:7" s="16" customFormat="1" x14ac:dyDescent="0.3">
      <c r="C34" s="49"/>
    </row>
    <row r="35" spans="1:7" s="16" customFormat="1" x14ac:dyDescent="0.3">
      <c r="C35" s="49"/>
    </row>
    <row r="36" spans="1:7" s="16" customFormat="1" x14ac:dyDescent="0.3">
      <c r="C36" s="49"/>
    </row>
    <row r="37" spans="1:7" s="16" customFormat="1" x14ac:dyDescent="0.3">
      <c r="A37" s="88"/>
      <c r="B37" s="88"/>
      <c r="C37" s="88"/>
      <c r="D37" s="88"/>
      <c r="E37" s="88"/>
      <c r="F37" s="88"/>
    </row>
    <row r="38" spans="1:7" s="16" customFormat="1" x14ac:dyDescent="0.3">
      <c r="A38" s="88"/>
      <c r="B38" s="88"/>
      <c r="C38" s="88"/>
      <c r="D38" s="88"/>
      <c r="E38" s="88"/>
      <c r="F38" s="88"/>
    </row>
    <row r="39" spans="1:7" s="16" customFormat="1" x14ac:dyDescent="0.3">
      <c r="A39" s="88"/>
      <c r="B39" s="88" t="s">
        <v>217</v>
      </c>
      <c r="C39" s="88"/>
      <c r="D39" s="88"/>
      <c r="E39" s="88"/>
      <c r="F39" s="88"/>
    </row>
    <row r="40" spans="1:7" s="16" customFormat="1" x14ac:dyDescent="0.3">
      <c r="A40" s="88"/>
      <c r="B40" s="202">
        <v>2018</v>
      </c>
      <c r="C40" s="88"/>
      <c r="D40" s="88"/>
      <c r="E40" s="88"/>
      <c r="F40" s="88"/>
    </row>
    <row r="41" spans="1:7" s="16" customFormat="1" x14ac:dyDescent="0.3">
      <c r="A41" s="88"/>
      <c r="B41" s="202">
        <v>2019</v>
      </c>
      <c r="C41" s="88"/>
      <c r="D41" s="88"/>
      <c r="E41" s="88"/>
      <c r="F41" s="88"/>
    </row>
    <row r="42" spans="1:7" s="16" customFormat="1" x14ac:dyDescent="0.3">
      <c r="A42" s="88"/>
      <c r="B42" s="202">
        <v>2020</v>
      </c>
      <c r="C42" s="88"/>
      <c r="D42" s="88"/>
      <c r="E42" s="88"/>
      <c r="F42" s="88"/>
    </row>
    <row r="43" spans="1:7" s="16" customFormat="1" x14ac:dyDescent="0.3">
      <c r="A43" s="88"/>
      <c r="B43" s="202">
        <v>2021</v>
      </c>
      <c r="C43" s="88"/>
      <c r="D43" s="88"/>
      <c r="E43" s="88"/>
      <c r="F43" s="88"/>
    </row>
    <row r="44" spans="1:7" s="16" customFormat="1" x14ac:dyDescent="0.3">
      <c r="A44" s="88"/>
      <c r="B44" s="202">
        <v>2022</v>
      </c>
      <c r="C44" s="88"/>
      <c r="D44" s="88"/>
      <c r="E44" s="88"/>
      <c r="F44" s="88"/>
    </row>
    <row r="45" spans="1:7" s="16" customFormat="1" x14ac:dyDescent="0.3">
      <c r="A45" s="88"/>
      <c r="B45" s="88">
        <v>2023</v>
      </c>
      <c r="C45" s="88"/>
      <c r="D45" s="88"/>
      <c r="E45" s="88"/>
      <c r="F45" s="88"/>
    </row>
    <row r="46" spans="1:7" s="16" customFormat="1" x14ac:dyDescent="0.3">
      <c r="A46" s="88"/>
      <c r="B46" s="202"/>
      <c r="C46" s="88"/>
      <c r="D46" s="88"/>
      <c r="E46" s="88"/>
      <c r="F46" s="88"/>
    </row>
    <row r="47" spans="1:7" s="16" customFormat="1" x14ac:dyDescent="0.3">
      <c r="A47" s="88"/>
      <c r="B47" s="88" t="s">
        <v>199</v>
      </c>
      <c r="C47" s="88"/>
      <c r="D47" s="88"/>
      <c r="E47" s="88"/>
      <c r="F47" s="88"/>
    </row>
    <row r="48" spans="1:7" s="16" customFormat="1" x14ac:dyDescent="0.3">
      <c r="A48" s="88"/>
      <c r="B48" s="88" t="s">
        <v>212</v>
      </c>
      <c r="C48" s="88"/>
      <c r="D48" s="88"/>
      <c r="E48" s="88"/>
      <c r="F48" s="88"/>
    </row>
    <row r="49" spans="1:7" s="16" customFormat="1" x14ac:dyDescent="0.3">
      <c r="A49" s="88"/>
      <c r="B49" s="88" t="s">
        <v>213</v>
      </c>
      <c r="C49" s="88"/>
      <c r="D49" s="88"/>
      <c r="E49" s="88"/>
      <c r="F49" s="88"/>
    </row>
    <row r="50" spans="1:7" s="16" customFormat="1" x14ac:dyDescent="0.3">
      <c r="A50" s="88"/>
      <c r="B50" s="88" t="s">
        <v>214</v>
      </c>
      <c r="C50" s="88"/>
      <c r="D50" s="88"/>
      <c r="E50" s="88"/>
      <c r="F50" s="88"/>
    </row>
    <row r="51" spans="1:7" s="16" customFormat="1" x14ac:dyDescent="0.3">
      <c r="A51" s="88"/>
      <c r="B51" s="88" t="s">
        <v>57</v>
      </c>
      <c r="C51" s="88"/>
      <c r="D51" s="88"/>
      <c r="E51" s="88"/>
      <c r="F51" s="88"/>
    </row>
    <row r="52" spans="1:7" s="16" customFormat="1" x14ac:dyDescent="0.3">
      <c r="A52" s="88"/>
      <c r="B52" s="88"/>
      <c r="C52" s="88"/>
      <c r="D52" s="88"/>
      <c r="E52" s="88"/>
      <c r="F52" s="88"/>
    </row>
    <row r="53" spans="1:7" s="16" customFormat="1" x14ac:dyDescent="0.3">
      <c r="A53" s="88"/>
      <c r="B53" s="88" t="s">
        <v>215</v>
      </c>
      <c r="C53" s="88"/>
      <c r="D53" s="88"/>
      <c r="E53" s="88"/>
      <c r="F53" s="88"/>
    </row>
    <row r="54" spans="1:7" s="16" customFormat="1" x14ac:dyDescent="0.3">
      <c r="A54" s="88"/>
      <c r="B54" s="88" t="s">
        <v>24</v>
      </c>
      <c r="C54" s="88"/>
      <c r="D54" s="88"/>
      <c r="E54" s="88"/>
      <c r="F54" s="88"/>
    </row>
    <row r="55" spans="1:7" s="16" customFormat="1" x14ac:dyDescent="0.3">
      <c r="A55" s="88"/>
      <c r="B55" s="88" t="s">
        <v>25</v>
      </c>
      <c r="C55" s="88"/>
      <c r="D55" s="88"/>
      <c r="E55" s="88"/>
      <c r="F55" s="88"/>
    </row>
    <row r="56" spans="1:7" s="16" customFormat="1" x14ac:dyDescent="0.3">
      <c r="A56" s="88"/>
      <c r="B56" s="88" t="s">
        <v>56</v>
      </c>
      <c r="C56" s="88"/>
      <c r="D56" s="88"/>
      <c r="E56" s="88"/>
      <c r="F56" s="88"/>
    </row>
    <row r="57" spans="1:7" s="16" customFormat="1" x14ac:dyDescent="0.3">
      <c r="A57" s="88"/>
      <c r="B57" s="89" t="s">
        <v>485</v>
      </c>
      <c r="C57" s="88"/>
      <c r="D57" s="88"/>
      <c r="E57" s="88"/>
      <c r="F57" s="88"/>
    </row>
    <row r="58" spans="1:7" x14ac:dyDescent="0.3">
      <c r="A58" s="88"/>
      <c r="B58" s="88" t="s">
        <v>175</v>
      </c>
      <c r="C58" s="88"/>
      <c r="D58" s="88"/>
      <c r="E58" s="88"/>
      <c r="F58" s="88"/>
      <c r="G58" s="16"/>
    </row>
    <row r="59" spans="1:7" x14ac:dyDescent="0.3">
      <c r="A59" s="88"/>
      <c r="B59" s="88"/>
      <c r="C59" s="88"/>
      <c r="D59" s="88"/>
      <c r="E59" s="88"/>
      <c r="F59" s="88"/>
      <c r="G59" s="16"/>
    </row>
    <row r="60" spans="1:7" x14ac:dyDescent="0.3">
      <c r="A60" s="88"/>
      <c r="B60" s="88" t="s">
        <v>292</v>
      </c>
      <c r="C60" s="88"/>
      <c r="D60" s="88"/>
      <c r="E60" s="88"/>
      <c r="F60" s="88"/>
      <c r="G60" s="16"/>
    </row>
    <row r="61" spans="1:7" x14ac:dyDescent="0.3">
      <c r="A61" s="88"/>
      <c r="B61" s="88" t="s">
        <v>291</v>
      </c>
      <c r="C61" s="88"/>
      <c r="D61" s="88"/>
      <c r="E61" s="88"/>
      <c r="F61" s="88"/>
      <c r="G61" s="16"/>
    </row>
    <row r="62" spans="1:7" x14ac:dyDescent="0.3">
      <c r="A62" s="88"/>
      <c r="B62" s="88" t="s">
        <v>289</v>
      </c>
      <c r="C62" s="88"/>
      <c r="D62" s="88"/>
      <c r="E62" s="88"/>
      <c r="F62" s="88"/>
      <c r="G62" s="16"/>
    </row>
    <row r="63" spans="1:7" x14ac:dyDescent="0.3">
      <c r="A63" s="88"/>
      <c r="B63" s="88" t="s">
        <v>290</v>
      </c>
      <c r="C63" s="88"/>
      <c r="D63" s="88"/>
      <c r="E63" s="88"/>
      <c r="F63" s="88"/>
      <c r="G63" s="16"/>
    </row>
    <row r="64" spans="1:7" x14ac:dyDescent="0.3">
      <c r="A64" s="88"/>
      <c r="B64" s="88"/>
      <c r="C64" s="88"/>
      <c r="D64" s="88"/>
      <c r="E64" s="88"/>
      <c r="F64" s="88"/>
      <c r="G64" s="16"/>
    </row>
    <row r="65" spans="1:7" x14ac:dyDescent="0.3">
      <c r="A65" s="88"/>
      <c r="B65" s="88" t="s">
        <v>197</v>
      </c>
      <c r="C65" s="88"/>
      <c r="D65" s="88"/>
      <c r="E65" s="88"/>
      <c r="F65" s="88"/>
      <c r="G65" s="16"/>
    </row>
    <row r="66" spans="1:7" x14ac:dyDescent="0.3">
      <c r="A66" s="88"/>
      <c r="B66" s="88" t="s">
        <v>206</v>
      </c>
      <c r="C66" s="88"/>
      <c r="D66" s="88"/>
      <c r="E66" s="88"/>
      <c r="F66" s="88"/>
      <c r="G66" s="16"/>
    </row>
    <row r="67" spans="1:7" x14ac:dyDescent="0.3">
      <c r="A67" s="88"/>
      <c r="B67" s="88" t="s">
        <v>205</v>
      </c>
      <c r="C67" s="88"/>
      <c r="D67" s="88"/>
      <c r="E67" s="88"/>
      <c r="F67" s="88"/>
      <c r="G67" s="16"/>
    </row>
    <row r="68" spans="1:7" x14ac:dyDescent="0.3">
      <c r="A68" s="88"/>
      <c r="B68" s="88" t="s">
        <v>50</v>
      </c>
      <c r="C68" s="88"/>
      <c r="D68" s="88"/>
      <c r="E68" s="88"/>
      <c r="F68" s="88"/>
      <c r="G68" s="16"/>
    </row>
    <row r="69" spans="1:7" x14ac:dyDescent="0.3">
      <c r="A69" s="88"/>
      <c r="B69" s="88" t="s">
        <v>207</v>
      </c>
      <c r="C69" s="88"/>
      <c r="D69" s="88"/>
      <c r="E69" s="88"/>
      <c r="F69" s="88"/>
      <c r="G69" s="16"/>
    </row>
    <row r="70" spans="1:7" x14ac:dyDescent="0.3">
      <c r="A70" s="88"/>
      <c r="B70" s="88" t="s">
        <v>57</v>
      </c>
      <c r="C70" s="88"/>
      <c r="D70" s="88"/>
      <c r="E70" s="88"/>
      <c r="F70" s="88"/>
      <c r="G70" s="16"/>
    </row>
    <row r="71" spans="1:7" x14ac:dyDescent="0.3">
      <c r="A71" s="88"/>
      <c r="B71" s="88"/>
      <c r="C71" s="88"/>
      <c r="D71" s="88"/>
      <c r="E71" s="88"/>
      <c r="F71" s="88"/>
      <c r="G71" s="16"/>
    </row>
    <row r="72" spans="1:7" x14ac:dyDescent="0.3">
      <c r="A72" s="88"/>
      <c r="B72" s="88" t="s">
        <v>198</v>
      </c>
      <c r="C72" s="88"/>
      <c r="D72" s="88"/>
      <c r="E72" s="88"/>
      <c r="F72" s="88"/>
      <c r="G72" s="16"/>
    </row>
    <row r="73" spans="1:7" x14ac:dyDescent="0.3">
      <c r="A73" s="88"/>
      <c r="B73" s="88" t="s">
        <v>208</v>
      </c>
      <c r="C73" s="88"/>
      <c r="D73" s="88"/>
      <c r="E73" s="88"/>
      <c r="F73" s="88"/>
      <c r="G73" s="16"/>
    </row>
    <row r="74" spans="1:7" x14ac:dyDescent="0.3">
      <c r="A74" s="88"/>
      <c r="B74" s="88" t="s">
        <v>209</v>
      </c>
      <c r="C74" s="88"/>
      <c r="D74" s="88"/>
      <c r="E74" s="88"/>
      <c r="F74" s="88"/>
      <c r="G74" s="16"/>
    </row>
    <row r="75" spans="1:7" x14ac:dyDescent="0.3">
      <c r="A75" s="88"/>
      <c r="B75" s="88" t="s">
        <v>210</v>
      </c>
      <c r="C75" s="88"/>
      <c r="D75" s="88"/>
      <c r="E75" s="88"/>
      <c r="F75" s="88"/>
      <c r="G75" s="16"/>
    </row>
    <row r="76" spans="1:7" x14ac:dyDescent="0.3">
      <c r="A76" s="88"/>
      <c r="B76" s="88"/>
      <c r="C76" s="88"/>
      <c r="D76" s="88"/>
      <c r="E76" s="88"/>
      <c r="F76" s="88"/>
      <c r="G76" s="16"/>
    </row>
    <row r="77" spans="1:7" x14ac:dyDescent="0.3">
      <c r="A77" s="88"/>
      <c r="B77" s="88"/>
      <c r="C77" s="88"/>
      <c r="D77" s="88"/>
      <c r="E77" s="88"/>
      <c r="F77" s="88"/>
      <c r="G77" s="16"/>
    </row>
    <row r="78" spans="1:7" x14ac:dyDescent="0.3">
      <c r="A78" s="16"/>
      <c r="B78" s="16"/>
      <c r="C78" s="16"/>
      <c r="D78" s="16"/>
      <c r="E78" s="16"/>
      <c r="F78" s="16"/>
      <c r="G78" s="16"/>
    </row>
    <row r="79" spans="1:7" x14ac:dyDescent="0.3">
      <c r="A79" s="16"/>
      <c r="B79" s="16"/>
      <c r="C79" s="16"/>
      <c r="D79" s="16"/>
      <c r="E79" s="16"/>
      <c r="F79" s="16"/>
      <c r="G79" s="16"/>
    </row>
    <row r="80" spans="1:7" x14ac:dyDescent="0.3">
      <c r="A80" s="16"/>
      <c r="B80" s="16"/>
      <c r="C80" s="16"/>
      <c r="D80" s="16"/>
      <c r="E80" s="16"/>
      <c r="F80" s="16"/>
      <c r="G80" s="16"/>
    </row>
  </sheetData>
  <sheetProtection sheet="1" objects="1" scenarios="1"/>
  <dataValidations count="5">
    <dataValidation type="list" allowBlank="1" showInputMessage="1" showErrorMessage="1" promptTitle="Valitse" prompt="tuotantosuunta pudotusvalikosta" sqref="C7" xr:uid="{00000000-0002-0000-0600-000000000000}">
      <formula1>$B$48:$B$51</formula1>
    </dataValidation>
    <dataValidation type="list" allowBlank="1" showInputMessage="1" showErrorMessage="1" promptTitle="Valitse" prompt="Pudotusvalikosta tieto, onko tuotanto luomussa" sqref="C9" xr:uid="{00000000-0002-0000-0600-000001000000}">
      <formula1>$B$61:$B$63</formula1>
    </dataValidation>
    <dataValidation type="list" allowBlank="1" showInputMessage="1" showErrorMessage="1" promptTitle="Valitse" prompt="Pudotusvalikosta pääasiallinen korjuutapa (paitsi, jos kysymyksessä laidun tai rehuvilja)" sqref="C10" xr:uid="{00000000-0002-0000-0600-000002000000}">
      <formula1>$B$66:$B$70</formula1>
    </dataValidation>
    <dataValidation type="list" allowBlank="1" showInputMessage="1" showErrorMessage="1" promptTitle="Valitse" prompt="Pudotusvalikosta pääasiallinen koneiden omistusmuoto" sqref="C11" xr:uid="{00000000-0002-0000-0600-000003000000}">
      <formula1>$B$73:$B$75</formula1>
    </dataValidation>
    <dataValidation type="list" allowBlank="1" showInputMessage="1" showErrorMessage="1" promptTitle="Valitse" prompt="Pudotuslaskelmasta satovuosi, jolta laskelma on tehty " sqref="C6" xr:uid="{00000000-0002-0000-0600-000004000000}">
      <formula1>$B$40:$B$45</formula1>
    </dataValidation>
  </dataValidations>
  <hyperlinks>
    <hyperlink ref="B2" r:id="rId1" xr:uid="{00000000-0004-0000-0600-000000000000}"/>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1FCD4C7BC2AC7C4DA5E991E0AD4B25D6" ma:contentTypeVersion="1" ma:contentTypeDescription="Luo uusi asiakirja." ma:contentTypeScope="" ma:versionID="764a44e5966ea088107461222ccfbfb2">
  <xsd:schema xmlns:xsd="http://www.w3.org/2001/XMLSchema" xmlns:p="http://schemas.microsoft.com/office/2006/metadata/properties" xmlns:ns1="http://schemas.microsoft.com/sharepoint/v3" targetNamespace="http://schemas.microsoft.com/office/2006/metadata/properties" ma:root="true" ma:fieldsID="e85411fcdfd7acb1815bb8958b4782b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Ajoituksen alkamispäivämäärä" ma:internalName="PublishingStartDate">
      <xsd:simpleType>
        <xsd:restriction base="dms:Unknown"/>
      </xsd:simpleType>
    </xsd:element>
    <xsd:element name="PublishingExpirationDate" ma:index="9" nillable="true" ma:displayName="Ajoituksen päättymispäivämäärä"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ma:readOnly="true"/>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0C35FCE-D6C1-441E-A730-B00024CC3E70}">
  <ds:schemaRefs>
    <ds:schemaRef ds:uri="http://schemas.microsoft.com/sharepoint/v3/contenttype/forms"/>
  </ds:schemaRefs>
</ds:datastoreItem>
</file>

<file path=customXml/itemProps2.xml><?xml version="1.0" encoding="utf-8"?>
<ds:datastoreItem xmlns:ds="http://schemas.openxmlformats.org/officeDocument/2006/customXml" ds:itemID="{8023859E-4980-43EA-8B7D-40E94A0BB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B5850D2-641A-4DC8-A685-C8309750274F}">
  <ds:schemaRefs>
    <ds:schemaRef ds:uri="http://purl.org/dc/dcmitype/"/>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12</vt:i4>
      </vt:variant>
      <vt:variant>
        <vt:lpstr>Nimetyt alueet</vt:lpstr>
      </vt:variant>
      <vt:variant>
        <vt:i4>12</vt:i4>
      </vt:variant>
    </vt:vector>
  </HeadingPairs>
  <TitlesOfParts>
    <vt:vector size="24" baseType="lpstr">
      <vt:lpstr>Saate</vt:lpstr>
      <vt:lpstr>1. Pelto</vt:lpstr>
      <vt:lpstr>2. Sadon määrä</vt:lpstr>
      <vt:lpstr>3. Koneet</vt:lpstr>
      <vt:lpstr>4. Urakointi</vt:lpstr>
      <vt:lpstr>5. Rakennukset</vt:lpstr>
      <vt:lpstr>6. Työmenekki</vt:lpstr>
      <vt:lpstr>7. Laskelma</vt:lpstr>
      <vt:lpstr>Yhteenveto</vt:lpstr>
      <vt:lpstr>Pääoma</vt:lpstr>
      <vt:lpstr>Analyysi</vt:lpstr>
      <vt:lpstr>Tuet</vt:lpstr>
      <vt:lpstr>Päätuotantosuunta</vt:lpstr>
      <vt:lpstr>Tukialue</vt:lpstr>
      <vt:lpstr>'1. Pelto'!Tulostusalue</vt:lpstr>
      <vt:lpstr>'3. Koneet'!Tulostusalue</vt:lpstr>
      <vt:lpstr>'5. Rakennukset'!Tulostusalue</vt:lpstr>
      <vt:lpstr>'6. Työmenekki'!Tulostusalue</vt:lpstr>
      <vt:lpstr>'7. Laskelma'!Tulostusalue</vt:lpstr>
      <vt:lpstr>Saate!Tulostusalue</vt:lpstr>
      <vt:lpstr>Tuet!Tulostusalue</vt:lpstr>
      <vt:lpstr>'3. Koneet'!Tulostusotsikot</vt:lpstr>
      <vt:lpstr>'5. Rakennukset'!Tulostusotsikot</vt:lpstr>
      <vt:lpstr>'7. Laskelma'!Tulostusotsikot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Nurmen tuotantokustannus</dc:title>
  <dc:creator>Karsikas Tomi</dc:creator>
  <cp:lastModifiedBy>Karsikas, Tomi</cp:lastModifiedBy>
  <cp:lastPrinted>2021-11-05T12:52:16Z</cp:lastPrinted>
  <dcterms:created xsi:type="dcterms:W3CDTF">2016-12-06T12:20:05Z</dcterms:created>
  <dcterms:modified xsi:type="dcterms:W3CDTF">2021-11-18T06:19:11Z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0x0101001FCD4C7BC2AC7C4DA5E991E0AD4B25D6</vt:lpwstr>
  </property>
</Properties>
</file>