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triacloud-my.sharepoint.com/personal/tomi_karsikas_atria_com/Documents/Tiedostot/Katelaskelmat/Säilörehun tuotantokustannus/"/>
    </mc:Choice>
  </mc:AlternateContent>
  <xr:revisionPtr revIDLastSave="139" documentId="8_{D1E1A57D-4068-4A1C-A5F3-865101687B31}" xr6:coauthVersionLast="46" xr6:coauthVersionMax="46" xr10:uidLastSave="{27A7F87F-73A3-4146-AF26-53DA68FDA196}"/>
  <workbookProtection workbookAlgorithmName="SHA-512" workbookHashValue="P67Zc1pkSK6EPVhl8snnb08u67JcRFeE9eYVFI3emLoFkFTMKivIn5Uy0ccWmz6Im9anCrGG2QnEfJvqxEf67g==" workbookSaltValue="vtP1Q7CjNb/0sTzVrAZiBg==" workbookSpinCount="100000" lockStructure="1"/>
  <bookViews>
    <workbookView xWindow="-108" yWindow="-108" windowWidth="30936" windowHeight="16896" activeTab="1" xr2:uid="{00000000-000D-0000-FFFF-FFFF00000000}"/>
  </bookViews>
  <sheets>
    <sheet name="Saate" sheetId="5" r:id="rId1"/>
    <sheet name="Laitumen sadon arviointia" sheetId="3" r:id="rId2"/>
    <sheet name="Taustalaskenta" sheetId="4" state="hidden" r:id="rId3"/>
    <sheet name="Syöntikaavat" sheetId="2" r:id="rId4"/>
  </sheets>
  <definedNames>
    <definedName name="_xlnm.Print_Area" localSheetId="1">'Laitumen sadon arviointia'!$A$1:$G$92</definedName>
    <definedName name="_xlnm.Print_Area" localSheetId="2">Taustalaskenta!$A$1:$G$239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D77" i="3" l="1"/>
  <c r="D128" i="4"/>
  <c r="D132" i="4" s="1"/>
  <c r="D127" i="4"/>
  <c r="D126" i="4"/>
  <c r="F76" i="4"/>
  <c r="F69" i="4"/>
  <c r="F126" i="4" s="1"/>
  <c r="F68" i="4"/>
  <c r="F62" i="4"/>
  <c r="F61" i="4"/>
  <c r="F58" i="4"/>
  <c r="F57" i="4"/>
  <c r="F56" i="4"/>
  <c r="F30" i="4"/>
  <c r="F29" i="4"/>
  <c r="F179" i="4" s="1"/>
  <c r="F220" i="4" s="1"/>
  <c r="F28" i="4"/>
  <c r="F27" i="4"/>
  <c r="F26" i="4"/>
  <c r="L6" i="4" s="1"/>
  <c r="F25" i="4"/>
  <c r="L5" i="4" s="1"/>
  <c r="F18" i="4"/>
  <c r="F13" i="4"/>
  <c r="F12" i="4"/>
  <c r="F10" i="4"/>
  <c r="F9" i="4"/>
  <c r="K6" i="4"/>
  <c r="K5" i="4"/>
  <c r="D76" i="4"/>
  <c r="D69" i="4"/>
  <c r="D68" i="4"/>
  <c r="D62" i="4"/>
  <c r="D61" i="4"/>
  <c r="D58" i="4"/>
  <c r="D57" i="4"/>
  <c r="D56" i="4"/>
  <c r="D30" i="4"/>
  <c r="D180" i="4" s="1"/>
  <c r="D235" i="4" s="1"/>
  <c r="D29" i="4"/>
  <c r="D28" i="4"/>
  <c r="D27" i="4"/>
  <c r="D26" i="4"/>
  <c r="D173" i="4" s="1"/>
  <c r="D25" i="4"/>
  <c r="D18" i="4"/>
  <c r="D13" i="4"/>
  <c r="D12" i="4"/>
  <c r="D10" i="4"/>
  <c r="D9" i="4"/>
  <c r="K5" i="3"/>
  <c r="F232" i="4"/>
  <c r="D232" i="4"/>
  <c r="F231" i="4"/>
  <c r="D231" i="4"/>
  <c r="F217" i="4"/>
  <c r="D217" i="4"/>
  <c r="F216" i="4"/>
  <c r="D216" i="4"/>
  <c r="F206" i="4"/>
  <c r="F208" i="4" s="1"/>
  <c r="D206" i="4"/>
  <c r="D208" i="4" s="1"/>
  <c r="F205" i="4"/>
  <c r="D205" i="4"/>
  <c r="F202" i="4"/>
  <c r="D202" i="4"/>
  <c r="F201" i="4"/>
  <c r="D201" i="4"/>
  <c r="F192" i="4"/>
  <c r="D192" i="4"/>
  <c r="F189" i="4"/>
  <c r="D189" i="4"/>
  <c r="F188" i="4"/>
  <c r="D188" i="4"/>
  <c r="F180" i="4"/>
  <c r="F235" i="4" s="1"/>
  <c r="D179" i="4"/>
  <c r="D220" i="4" s="1"/>
  <c r="F174" i="4"/>
  <c r="F173" i="4"/>
  <c r="F127" i="4"/>
  <c r="F117" i="4"/>
  <c r="D117" i="4"/>
  <c r="F104" i="4"/>
  <c r="F70" i="4"/>
  <c r="D70" i="4"/>
  <c r="F15" i="4"/>
  <c r="D11" i="3"/>
  <c r="D55" i="3" s="1"/>
  <c r="D130" i="4" l="1"/>
  <c r="D59" i="4"/>
  <c r="F128" i="4"/>
  <c r="F132" i="4" s="1"/>
  <c r="F59" i="4"/>
  <c r="F103" i="4"/>
  <c r="F98" i="4"/>
  <c r="F105" i="4"/>
  <c r="F171" i="4" s="1"/>
  <c r="F175" i="4" s="1"/>
  <c r="F221" i="4" s="1"/>
  <c r="F223" i="4" s="1"/>
  <c r="F11" i="4"/>
  <c r="F172" i="4" s="1"/>
  <c r="D174" i="4"/>
  <c r="D15" i="4"/>
  <c r="D31" i="4" s="1"/>
  <c r="D98" i="4"/>
  <c r="D97" i="4"/>
  <c r="D101" i="4" s="1"/>
  <c r="D104" i="4"/>
  <c r="D11" i="4"/>
  <c r="D55" i="4" s="1"/>
  <c r="D103" i="4"/>
  <c r="F145" i="4"/>
  <c r="F147" i="4" s="1"/>
  <c r="D145" i="4"/>
  <c r="D147" i="4" s="1"/>
  <c r="F33" i="4"/>
  <c r="F32" i="4"/>
  <c r="F130" i="4"/>
  <c r="D131" i="4"/>
  <c r="F31" i="4"/>
  <c r="F131" i="4"/>
  <c r="D70" i="3"/>
  <c r="F14" i="4" l="1"/>
  <c r="F14" i="3"/>
  <c r="F55" i="4"/>
  <c r="F176" i="4"/>
  <c r="F236" i="4" s="1"/>
  <c r="F238" i="4" s="1"/>
  <c r="F97" i="4"/>
  <c r="F101" i="4" s="1"/>
  <c r="F135" i="4" s="1"/>
  <c r="F177" i="4"/>
  <c r="F193" i="4" s="1"/>
  <c r="F195" i="4" s="1"/>
  <c r="F99" i="4"/>
  <c r="F134" i="4" s="1"/>
  <c r="D100" i="4"/>
  <c r="D136" i="4" s="1"/>
  <c r="D32" i="4"/>
  <c r="D33" i="4"/>
  <c r="D135" i="4"/>
  <c r="D105" i="4"/>
  <c r="F146" i="4"/>
  <c r="F218" i="4" s="1"/>
  <c r="F222" i="4" s="1"/>
  <c r="F224" i="4" s="1"/>
  <c r="F226" i="4" s="1"/>
  <c r="D146" i="4"/>
  <c r="D218" i="4" s="1"/>
  <c r="D233" i="4"/>
  <c r="D190" i="4"/>
  <c r="F233" i="4"/>
  <c r="F190" i="4"/>
  <c r="D99" i="4" l="1"/>
  <c r="F100" i="4"/>
  <c r="D115" i="4"/>
  <c r="D119" i="4" s="1"/>
  <c r="F237" i="4"/>
  <c r="F194" i="4"/>
  <c r="F196" i="4" s="1"/>
  <c r="F37" i="4"/>
  <c r="F37" i="3"/>
  <c r="D14" i="4"/>
  <c r="F109" i="4"/>
  <c r="F110" i="4" s="1"/>
  <c r="F116" i="4" s="1"/>
  <c r="F118" i="4" s="1"/>
  <c r="F203" i="4"/>
  <c r="F207" i="4" s="1"/>
  <c r="F209" i="4" s="1"/>
  <c r="D171" i="4"/>
  <c r="D172" i="4" s="1"/>
  <c r="D177" i="4" s="1"/>
  <c r="D193" i="4" s="1"/>
  <c r="D195" i="4" s="1"/>
  <c r="D203" i="4"/>
  <c r="D207" i="4" s="1"/>
  <c r="D209" i="4" s="1"/>
  <c r="F239" i="4"/>
  <c r="D109" i="4"/>
  <c r="D110" i="4" s="1"/>
  <c r="D116" i="4" s="1"/>
  <c r="D118" i="4" s="1"/>
  <c r="D120" i="4" s="1"/>
  <c r="D36" i="3" s="1"/>
  <c r="D43" i="3" s="1"/>
  <c r="D102" i="4"/>
  <c r="F115" i="4"/>
  <c r="F136" i="4"/>
  <c r="F137" i="4" s="1"/>
  <c r="F114" i="4"/>
  <c r="F113" i="4"/>
  <c r="D134" i="4"/>
  <c r="D137" i="4" s="1"/>
  <c r="D50" i="3" s="1"/>
  <c r="F102" i="4"/>
  <c r="D15" i="3"/>
  <c r="F40" i="4" l="1"/>
  <c r="F40" i="3"/>
  <c r="F38" i="4"/>
  <c r="F38" i="3"/>
  <c r="D40" i="4"/>
  <c r="D40" i="3"/>
  <c r="D32" i="3"/>
  <c r="D33" i="3"/>
  <c r="F39" i="4"/>
  <c r="F39" i="3"/>
  <c r="F119" i="4"/>
  <c r="F120" i="4" s="1"/>
  <c r="F36" i="3" s="1"/>
  <c r="F211" i="4"/>
  <c r="D175" i="4"/>
  <c r="D221" i="4" s="1"/>
  <c r="D223" i="4" s="1"/>
  <c r="D194" i="4"/>
  <c r="D196" i="4" s="1"/>
  <c r="D176" i="4"/>
  <c r="D236" i="4" s="1"/>
  <c r="D211" i="4"/>
  <c r="F50" i="4"/>
  <c r="D36" i="4"/>
  <c r="D43" i="4" s="1"/>
  <c r="D121" i="4"/>
  <c r="D122" i="4" s="1"/>
  <c r="D139" i="4" s="1"/>
  <c r="D140" i="4" s="1"/>
  <c r="D50" i="4"/>
  <c r="D39" i="4" l="1"/>
  <c r="D39" i="3"/>
  <c r="F36" i="4"/>
  <c r="F43" i="4" s="1"/>
  <c r="F121" i="4"/>
  <c r="F122" i="4" s="1"/>
  <c r="F139" i="4" s="1"/>
  <c r="F140" i="4" s="1"/>
  <c r="D222" i="4"/>
  <c r="D224" i="4" s="1"/>
  <c r="D226" i="4" s="1"/>
  <c r="D238" i="4"/>
  <c r="D237" i="4"/>
  <c r="D51" i="4"/>
  <c r="D52" i="4" s="1"/>
  <c r="F51" i="4" l="1"/>
  <c r="F52" i="4" s="1"/>
  <c r="D37" i="4"/>
  <c r="D37" i="3"/>
  <c r="D239" i="4"/>
  <c r="D38" i="4" l="1"/>
  <c r="D38" i="3"/>
  <c r="F59" i="3"/>
  <c r="D59" i="3"/>
  <c r="F60" i="3"/>
  <c r="D60" i="3"/>
  <c r="D63" i="3" l="1"/>
  <c r="D60" i="4"/>
  <c r="D63" i="4" s="1"/>
  <c r="D64" i="4" s="1"/>
  <c r="F63" i="3"/>
  <c r="F60" i="4"/>
  <c r="F63" i="4" s="1"/>
  <c r="F64" i="4" s="1"/>
  <c r="L6" i="3"/>
  <c r="L5" i="3"/>
  <c r="K6" i="3"/>
  <c r="F19" i="3" l="1"/>
  <c r="F19" i="4" s="1"/>
  <c r="F44" i="4" s="1"/>
  <c r="D19" i="3"/>
  <c r="D19" i="4" s="1"/>
  <c r="D44" i="4" s="1"/>
  <c r="F22" i="3"/>
  <c r="F22" i="4" s="1"/>
  <c r="F47" i="4" s="1"/>
  <c r="D22" i="3"/>
  <c r="D22" i="4" s="1"/>
  <c r="D47" i="4" s="1"/>
  <c r="F21" i="3"/>
  <c r="F21" i="4" s="1"/>
  <c r="F46" i="4" s="1"/>
  <c r="D21" i="3"/>
  <c r="D21" i="4" s="1"/>
  <c r="D46" i="4" s="1"/>
  <c r="F70" i="3"/>
  <c r="F50" i="3" s="1"/>
  <c r="F20" i="3" l="1"/>
  <c r="F20" i="4" s="1"/>
  <c r="F45" i="4" s="1"/>
  <c r="F48" i="4" s="1"/>
  <c r="F65" i="4" s="1"/>
  <c r="F71" i="4" s="1"/>
  <c r="D20" i="3"/>
  <c r="D20" i="4" s="1"/>
  <c r="D45" i="4" s="1"/>
  <c r="D48" i="4" s="1"/>
  <c r="D65" i="4" s="1"/>
  <c r="D71" i="4" s="1"/>
  <c r="F73" i="4" l="1"/>
  <c r="F72" i="4"/>
  <c r="D73" i="4"/>
  <c r="D72" i="4"/>
  <c r="F15" i="3"/>
  <c r="F11" i="3"/>
  <c r="D74" i="4" l="1"/>
  <c r="D75" i="4" s="1"/>
  <c r="F74" i="4"/>
  <c r="D77" i="4"/>
  <c r="F32" i="3"/>
  <c r="F33" i="3"/>
  <c r="F75" i="4"/>
  <c r="F77" i="4"/>
  <c r="F55" i="3"/>
  <c r="F64" i="3" s="1"/>
  <c r="D64" i="3"/>
  <c r="F47" i="3"/>
  <c r="D31" i="3"/>
  <c r="F31" i="3"/>
  <c r="D47" i="3" l="1"/>
  <c r="D45" i="3" l="1"/>
  <c r="D46" i="3" l="1"/>
  <c r="F46" i="3"/>
  <c r="F44" i="3"/>
  <c r="D44" i="3"/>
  <c r="F45" i="3" l="1"/>
  <c r="D51" i="3"/>
  <c r="F43" i="3"/>
  <c r="F51" i="3" s="1"/>
  <c r="D48" i="3" l="1"/>
  <c r="D65" i="3" s="1"/>
  <c r="D52" i="3"/>
  <c r="F48" i="3"/>
  <c r="F65" i="3" s="1"/>
  <c r="F71" i="3" s="1"/>
  <c r="F73" i="3" s="1"/>
  <c r="F52" i="3"/>
  <c r="D71" i="3" l="1"/>
  <c r="D73" i="3" s="1"/>
  <c r="F72" i="3"/>
  <c r="D72" i="3" l="1"/>
  <c r="D74" i="3" s="1"/>
  <c r="D75" i="3" s="1"/>
  <c r="F74" i="3"/>
  <c r="F75" i="3" s="1"/>
  <c r="F7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Karsikas, Tomi</author>
  </authors>
  <commentList>
    <comment ref="D76" authorId="0" shapeId="0" xr:uid="{58F9318E-ABA2-4FB4-ACA2-A18334A63C23}">
      <text>
        <r>
          <rPr>
            <b/>
            <sz val="9"/>
            <color indexed="81"/>
            <rFont val="Tahoma"/>
            <family val="2"/>
          </rPr>
          <t>Karsikas, Tomi:</t>
        </r>
        <r>
          <rPr>
            <sz val="9"/>
            <color indexed="81"/>
            <rFont val="Tahoma"/>
            <family val="2"/>
          </rPr>
          <t xml:space="preserve">
Nostaa syödyn rehun määrää tämän verran suhteessa ravinnontarvenormien mukaiseen rehun määrään</t>
        </r>
      </text>
    </comment>
    <comment ref="F76" authorId="0" shapeId="0" xr:uid="{F7AD12A3-0851-4554-B53F-276FBCC49710}">
      <text>
        <r>
          <rPr>
            <b/>
            <sz val="9"/>
            <color indexed="81"/>
            <rFont val="Tahoma"/>
            <family val="2"/>
          </rPr>
          <t>Karsikas, Tomi:</t>
        </r>
        <r>
          <rPr>
            <sz val="9"/>
            <color indexed="81"/>
            <rFont val="Tahoma"/>
            <family val="2"/>
          </rPr>
          <t xml:space="preserve">
Nostaa syödyn rehun määrää tämän verran suhteessa ravinnontarvenormien mukaiseen rehun määrään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D149" authorId="0" shapeId="0" xr:uid="{02104DD7-0413-4DDF-8463-F9CC10023630}">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F149" authorId="0" shapeId="0" xr:uid="{8F61A19F-F40B-442E-A3D9-5DC53F087810}">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B185" authorId="0" shapeId="0" xr:uid="{5BC08372-F18B-4159-B61C-086EC2E5DFFE}">
      <text>
        <r>
          <rPr>
            <b/>
            <u/>
            <sz val="8"/>
            <color indexed="81"/>
            <rFont val="Tahoma"/>
            <family val="2"/>
          </rPr>
          <t xml:space="preserve">ME-tarpeen laskeminen ja RY-tarpeen laskeminen
</t>
        </r>
        <r>
          <rPr>
            <b/>
            <sz val="8"/>
            <color indexed="81"/>
            <rFont val="Tahoma"/>
            <family val="2"/>
          </rPr>
          <t xml:space="preserve">Tarvittavat </t>
        </r>
        <r>
          <rPr>
            <b/>
            <sz val="8"/>
            <color indexed="81"/>
            <rFont val="Tahoma"/>
            <family val="2"/>
          </rPr>
          <t xml:space="preserve">parametrit ovat: 
elopaino (elop, kg) lisäkasvu (lk, kg/d) sekä dieetin q-arvo (ME/BE), jolle olen käyttänyt oletusarvoa 0.60.
Lisäksi tarvitaan eläinlajikoodi, jonka perusteella tehdään korjaus sekä ylläpitotarpeeseen 
että lisäkasvun tarpeeseen. Kaikki muut kaavassa olevat tekijät on laskettu näistä muuttujista:
Muuttujat (muuttujan nimi, selitys, kaava):
- me (ME-tarve, MJ/d) = nem/(km*ln(km/kg))*ln((km/(km-kg))/(km/(km-kg)-neg/nem-1)) 
- nem (nettoenergian tarve NE, MJ/d) = 0.53*exp(0.67*ln((elop/1.08)))*yp.k+0.0071*elop
- neg (nettoenergian tarve kasvussa, MJ/d) = ((4.1+0.0332*elop-0.000009*elop*elop)/(1-0.1475*lk))*lk*lk.k
elop (elopaino, kg)
el.laji (eläinlajikoodi)
yp.k (ylläpitokerroin)
q (dieetin q-arvo, oletus 0.60) = 0.60
km (ME:n hyväksikäyttö ylläpidossa dieetin q-arvon funktiona) = 0.35*q+0.503
kg (ME:n hyväksikäyttö kasvussa dieetin q-arvon funktiona) = 0.78*q+0.006
lk.k (lisäkasvutarpeen korjauskerroin) = [el.laji@1.30,1.15,1.00,1.15,1.00,0.85,1.00,0.85,0.70]
lk (lisäkasvu, kg/d)
ry.tarve (RY-tarve/d) = me/11.7
Lähteet: (kaavat ja lähdeluettelot toimitti arvon rohvessoori, Mikko Tuori HY)
ARC80 (Agricultural Research Council). 1980. The nutrient requirements of ruminant livestock, technical review. 351 p.
AFRC90 (Agricultural and Food Research Council). 1990. AFRC Technical Committeeon Responses to Nutrients, Report Number 5, Nutritive Requirements of Ruminant
Animal: Energy. Nutrition Abstracts and Reviews (Series B), 60: 729-804.
</t>
        </r>
      </text>
    </comment>
    <comment ref="B187" authorId="0" shapeId="0" xr:uid="{78478673-20C0-448D-8963-C927AD8089CE}">
      <text>
        <r>
          <rPr>
            <b/>
            <sz val="8"/>
            <color indexed="81"/>
            <rFont val="Tahoma"/>
            <family val="2"/>
          </rPr>
          <t>q (dieetin q-arvo) oletus =  0.60
plaa,plaa,plaa</t>
        </r>
      </text>
    </comment>
    <comment ref="B188" authorId="0" shapeId="0" xr:uid="{8490B686-F2AB-40B6-A391-598D1EF2E7CF}">
      <text>
        <r>
          <rPr>
            <b/>
            <sz val="8"/>
            <color indexed="81"/>
            <rFont val="Tahoma"/>
            <family val="2"/>
          </rPr>
          <t>km (ME:n hyväksikäyttö ylläpidossa dieetin q-arvon funktiona) = 0.35*q+0.503</t>
        </r>
      </text>
    </comment>
    <comment ref="B189" authorId="0" shapeId="0" xr:uid="{1B7B5702-FBE4-4CCD-9394-B8A16B9172CC}">
      <text>
        <r>
          <rPr>
            <b/>
            <sz val="8"/>
            <color indexed="81"/>
            <rFont val="Tahoma"/>
            <family val="2"/>
          </rPr>
          <t>kg (ME:n hyväksikäyttö kasvussa dieetin q-arvon funktiona) = 0.78*q+0.006</t>
        </r>
      </text>
    </comment>
    <comment ref="B190" authorId="0" shapeId="0" xr:uid="{1AA12CB3-BC86-4A21-ACD9-ACD113036248}">
      <text>
        <r>
          <rPr>
            <b/>
            <sz val="8"/>
            <color indexed="81"/>
            <rFont val="Tahoma"/>
            <family val="2"/>
          </rPr>
          <t>lk.k (lisäkasvutarpeen korjauskerroin) = [el.laji@1.30,1.15,1.00,1.15,1.00,0.85,1.00,0.85,0.70]</t>
        </r>
      </text>
    </comment>
    <comment ref="D190" authorId="0" shapeId="0" xr:uid="{939F805B-99FC-4D79-9D3C-ECD9822F93FD}">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F190" authorId="0" shapeId="0" xr:uid="{EB18029C-CF61-42CD-99C7-293D7E0D118E}">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B191" authorId="0" shapeId="0" xr:uid="{9063F923-282F-4542-9A0A-273E89EF8222}">
      <text>
        <r>
          <rPr>
            <b/>
            <sz val="8"/>
            <color indexed="81"/>
            <rFont val="Tahoma"/>
            <family val="2"/>
          </rPr>
          <t>yp.k (ylläpitokerroin)</t>
        </r>
      </text>
    </comment>
    <comment ref="D191" authorId="0" shapeId="0" xr:uid="{57D1A964-134E-4B35-BA35-0994B55ED15A}">
      <text>
        <r>
          <rPr>
            <b/>
            <u/>
            <sz val="8"/>
            <color indexed="81"/>
            <rFont val="Tahoma"/>
            <family val="2"/>
          </rPr>
          <t xml:space="preserve">Korjauskertoimet ylläpidon energiantarpeen laskentaan
</t>
        </r>
        <r>
          <rPr>
            <b/>
            <sz val="8"/>
            <color indexed="81"/>
            <rFont val="Tahoma"/>
            <family val="2"/>
          </rPr>
          <t>- Hiehot  =1,00
- Härät    =1,00
- Sonnit   =1,15</t>
        </r>
      </text>
    </comment>
    <comment ref="F191" authorId="0" shapeId="0" xr:uid="{DF8906CC-A57E-4CB1-BD38-33199AB6B811}">
      <text>
        <r>
          <rPr>
            <b/>
            <u/>
            <sz val="8"/>
            <color indexed="81"/>
            <rFont val="Tahoma"/>
            <family val="2"/>
          </rPr>
          <t xml:space="preserve">Korjauskertoimet ylläpidon energiantarpeen laskentaan
</t>
        </r>
        <r>
          <rPr>
            <b/>
            <sz val="8"/>
            <color indexed="81"/>
            <rFont val="Tahoma"/>
            <family val="2"/>
          </rPr>
          <t>- Hiehot  =1,00
- Härät    =1,00
- Sonnit   =1,15</t>
        </r>
      </text>
    </comment>
    <comment ref="B192" authorId="0" shapeId="0" xr:uid="{3B524A1C-EC01-4125-9C48-7B66131D0DDD}">
      <text>
        <r>
          <rPr>
            <b/>
            <sz val="8"/>
            <color indexed="81"/>
            <rFont val="Tahoma"/>
            <family val="2"/>
          </rPr>
          <t>lk (lisäkasvu, kg/d)</t>
        </r>
      </text>
    </comment>
    <comment ref="B193" authorId="0" shapeId="0" xr:uid="{21615FC7-87EF-4137-A75C-B338323C19D3}">
      <text>
        <r>
          <rPr>
            <b/>
            <sz val="8"/>
            <color indexed="81"/>
            <rFont val="Tahoma"/>
            <family val="2"/>
          </rPr>
          <t>elop (elopaino, kg)</t>
        </r>
      </text>
    </comment>
    <comment ref="B194" authorId="0" shapeId="0" xr:uid="{D8F5EE54-97D0-439F-A655-6E94828639EE}">
      <text>
        <r>
          <rPr>
            <b/>
            <sz val="8"/>
            <color indexed="81"/>
            <rFont val="Tahoma"/>
            <family val="2"/>
          </rPr>
          <t xml:space="preserve">- neg (nettoenergian tarve kasvussa, MJ/d) = ((4.1+0.0332*elop-0.000009*elop*elop)/(1-0.1475*lk))*lk*lk.k
</t>
        </r>
      </text>
    </comment>
    <comment ref="B195" authorId="0" shapeId="0" xr:uid="{EE239B4D-233C-499A-8AAE-033DEC2EDB74}">
      <text>
        <r>
          <rPr>
            <b/>
            <sz val="8"/>
            <color indexed="81"/>
            <rFont val="Tahoma"/>
            <family val="2"/>
          </rPr>
          <t>- nem (nettoenergian tarve NE, MJ/d) = 0.53*exp(0.67*ln((elop/1.08)))*yp.k+0.0071*elop</t>
        </r>
      </text>
    </comment>
    <comment ref="B196" authorId="0" shapeId="0" xr:uid="{22C3F426-7199-446F-9EE7-E398B8F451A0}">
      <text>
        <r>
          <rPr>
            <b/>
            <sz val="8"/>
            <color indexed="81"/>
            <rFont val="Tahoma"/>
            <family val="2"/>
          </rPr>
          <t xml:space="preserve">- me (ME-tarve, MJ/d) = nem/(km*ln(km/kg))*ln((km/(km-kg))/(km/(km-kg)-neg/nem-1)) </t>
        </r>
      </text>
    </comment>
    <comment ref="B198" authorId="0" shapeId="0" xr:uid="{ADA2A7E6-2DA4-469A-A853-EDADBA0480F6}">
      <text>
        <r>
          <rPr>
            <b/>
            <u/>
            <sz val="8"/>
            <color indexed="81"/>
            <rFont val="Tahoma"/>
            <family val="2"/>
          </rPr>
          <t xml:space="preserve">ME-tarpeen laskeminen ja RY-tarpeen laskeminen
</t>
        </r>
        <r>
          <rPr>
            <b/>
            <sz val="8"/>
            <color indexed="81"/>
            <rFont val="Tahoma"/>
            <family val="2"/>
          </rPr>
          <t xml:space="preserve">Tarvittavat </t>
        </r>
        <r>
          <rPr>
            <b/>
            <sz val="8"/>
            <color indexed="81"/>
            <rFont val="Tahoma"/>
            <family val="2"/>
          </rPr>
          <t xml:space="preserve">parametrit ovat: 
elopaino (elop, kg) lisäkasvu (lk, kg/d) sekä dieetin q-arvo (ME/BE), jolle olen käyttänyt oletusarvoa 0.60.
Lisäksi tarvitaan eläinlajikoodi, jonka perusteella tehdään korjaus sekä ylläpitotarpeeseen 
että lisäkasvun tarpeeseen. Kaikki muut kaavassa olevat tekijät on laskettu näistä muuttujista:
Muuttujat (muuttujan nimi, selitys, kaava):
- me (ME-tarve, MJ/d) = nem/(km*ln(km/kg))*ln((km/(km-kg))/(km/(km-kg)-neg/nem-1)) 
- nem (nettoenergian tarve NE, MJ/d) = 0.53*exp(0.67*ln((elop/1.08)))*yp.k+0.0071*elop
- neg (nettoenergian tarve kasvussa, MJ/d) = ((4.1+0.0332*elop-0.000009*elop*elop)/(1-0.1475*lk))*lk*lk.k
elop (elopaino, kg)
el.laji (eläinlajikoodi)
yp.k (ylläpitokerroin)
q (dieetin q-arvo, oletus 0.60) = 0.60
km (ME:n hyväksikäyttö ylläpidossa dieetin q-arvon funktiona) = 0.35*q+0.503
kg (ME:n hyväksikäyttö kasvussa dieetin q-arvon funktiona) = 0.78*q+0.006
lk.k (lisäkasvutarpeen korjauskerroin) = [el.laji@1.30,1.15,1.00,1.15,1.00,0.85,1.00,0.85,0.70]
lk (lisäkasvu, kg/d)
ry.tarve (RY-tarve/d) = me/11.7
Lähteet: (kaavat ja lähdeluettelot toimitti arvon rohvessoori, Mikko Tuori HY)
ARC80 (Agricultural Research Council). 1980. The nutrient requirements of ruminant livestock, technical review. 351 p.
AFRC90 (Agricultural and Food Research Council). 1990. AFRC Technical Committeeon Responses to Nutrients, Report Number 5, Nutritive Requirements of Ruminant
Animal: Energy. Nutrition Abstracts and Reviews (Series B), 60: 729-804.
</t>
        </r>
      </text>
    </comment>
    <comment ref="B200" authorId="0" shapeId="0" xr:uid="{BD226376-8B85-4EC3-B5E1-2BD3EB48F5BB}">
      <text>
        <r>
          <rPr>
            <b/>
            <sz val="8"/>
            <color indexed="81"/>
            <rFont val="Tahoma"/>
            <family val="2"/>
          </rPr>
          <t>q (dieetin q-arvo) oletus =  0.60
plaa,plaa,plaa</t>
        </r>
      </text>
    </comment>
    <comment ref="B201" authorId="0" shapeId="0" xr:uid="{985764B6-2EF4-4331-A1C6-2594C92ECE9B}">
      <text>
        <r>
          <rPr>
            <b/>
            <sz val="8"/>
            <color indexed="81"/>
            <rFont val="Tahoma"/>
            <family val="2"/>
          </rPr>
          <t>km (ME:n hyväksikäyttö ylläpidossa dieetin q-arvon funktiona) = 0.35*q+0.503</t>
        </r>
      </text>
    </comment>
    <comment ref="B202" authorId="0" shapeId="0" xr:uid="{88DF26F5-8EA8-41C6-8751-F4E4D20327F1}">
      <text>
        <r>
          <rPr>
            <b/>
            <sz val="8"/>
            <color indexed="81"/>
            <rFont val="Tahoma"/>
            <family val="2"/>
          </rPr>
          <t>kg (ME:n hyväksikäyttö kasvussa dieetin q-arvon funktiona) = 0.78*q+0.006</t>
        </r>
      </text>
    </comment>
    <comment ref="B203" authorId="0" shapeId="0" xr:uid="{89278DEF-D719-4B87-848B-7518442F21E9}">
      <text>
        <r>
          <rPr>
            <b/>
            <sz val="8"/>
            <color indexed="81"/>
            <rFont val="Tahoma"/>
            <family val="2"/>
          </rPr>
          <t>lk.k (lisäkasvutarpeen korjauskerroin) = [el.laji@1.30,1.15,1.00,1.15,1.00,0.85,1.00,0.85,0.70]</t>
        </r>
      </text>
    </comment>
    <comment ref="D203" authorId="0" shapeId="0" xr:uid="{4F2B605B-5E9A-40EE-A33B-BB5D94E4455A}">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F203" authorId="0" shapeId="0" xr:uid="{71F9E5B5-372F-4462-A000-4A52A9CA23F7}">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B204" authorId="0" shapeId="0" xr:uid="{55A19420-9233-497A-B797-1976AC312462}">
      <text>
        <r>
          <rPr>
            <b/>
            <sz val="8"/>
            <color indexed="81"/>
            <rFont val="Tahoma"/>
            <family val="2"/>
          </rPr>
          <t>yp.k (ylläpitokerroin)</t>
        </r>
      </text>
    </comment>
    <comment ref="D204" authorId="0" shapeId="0" xr:uid="{F28F3D1C-9AD1-48E1-AEC4-6F5FBDCD7255}">
      <text>
        <r>
          <rPr>
            <b/>
            <u/>
            <sz val="8"/>
            <color indexed="81"/>
            <rFont val="Tahoma"/>
            <family val="2"/>
          </rPr>
          <t xml:space="preserve">Korjauskertoimet ylläpidon energiantarpeen laskentaan
</t>
        </r>
        <r>
          <rPr>
            <b/>
            <sz val="8"/>
            <color indexed="81"/>
            <rFont val="Tahoma"/>
            <family val="2"/>
          </rPr>
          <t>- Hiehot  =1,00
- Härät    =1,00
- Sonnit   =1,15</t>
        </r>
      </text>
    </comment>
    <comment ref="F204" authorId="0" shapeId="0" xr:uid="{1520A6E8-8C8F-4099-835C-14EE8C8F179B}">
      <text>
        <r>
          <rPr>
            <b/>
            <u/>
            <sz val="8"/>
            <color indexed="81"/>
            <rFont val="Tahoma"/>
            <family val="2"/>
          </rPr>
          <t xml:space="preserve">Korjauskertoimet ylläpidon energiantarpeen laskentaan
</t>
        </r>
        <r>
          <rPr>
            <b/>
            <sz val="8"/>
            <color indexed="81"/>
            <rFont val="Tahoma"/>
            <family val="2"/>
          </rPr>
          <t>- Hiehot  =1,00
- Härät    =1,00
- Sonnit   =1,15</t>
        </r>
      </text>
    </comment>
    <comment ref="B205" authorId="0" shapeId="0" xr:uid="{73AD74FD-75BC-47F1-870A-C059DD0957F3}">
      <text>
        <r>
          <rPr>
            <b/>
            <sz val="8"/>
            <color indexed="81"/>
            <rFont val="Tahoma"/>
            <family val="2"/>
          </rPr>
          <t>lk (lisäkasvu, kg/d)</t>
        </r>
      </text>
    </comment>
    <comment ref="B206" authorId="0" shapeId="0" xr:uid="{D82D5C77-EA05-420D-B28A-9854BBB0B4B5}">
      <text>
        <r>
          <rPr>
            <b/>
            <sz val="8"/>
            <color indexed="81"/>
            <rFont val="Tahoma"/>
            <family val="2"/>
          </rPr>
          <t>elop (elopaino, kg)</t>
        </r>
      </text>
    </comment>
    <comment ref="B207" authorId="0" shapeId="0" xr:uid="{95CA7FF6-5EB5-4FDF-8028-C2280B47F661}">
      <text>
        <r>
          <rPr>
            <b/>
            <sz val="8"/>
            <color indexed="81"/>
            <rFont val="Tahoma"/>
            <family val="2"/>
          </rPr>
          <t xml:space="preserve">- neg (nettoenergian tarve kasvussa, MJ/d) = ((4.1+0.0332*elop-0.000009*elop*elop)/(1-0.1475*lk))*lk*lk.k
</t>
        </r>
      </text>
    </comment>
    <comment ref="B208" authorId="0" shapeId="0" xr:uid="{3F6B94F2-6AF6-47D7-B4DB-6FB9A10758DD}">
      <text>
        <r>
          <rPr>
            <b/>
            <sz val="8"/>
            <color indexed="81"/>
            <rFont val="Tahoma"/>
            <family val="2"/>
          </rPr>
          <t>- nem (nettoenergian tarve NE, MJ/d) = 0.53*exp(0.67*ln((elop/1.08)))*yp.k+0.0071*elop</t>
        </r>
      </text>
    </comment>
    <comment ref="B209" authorId="0" shapeId="0" xr:uid="{1CEEB0F9-78FA-463D-A5F9-399122DD0F9E}">
      <text>
        <r>
          <rPr>
            <b/>
            <sz val="8"/>
            <color indexed="81"/>
            <rFont val="Tahoma"/>
            <family val="2"/>
          </rPr>
          <t xml:space="preserve">- me (ME-tarve, MJ/d) = nem/(km*ln(km/kg))*ln((km/(km-kg))/(km/(km-kg)-neg/nem-1)) </t>
        </r>
      </text>
    </comment>
    <comment ref="B211" authorId="0" shapeId="0" xr:uid="{CF998CB8-75B0-4321-A38F-64EFFE1756FC}">
      <text>
        <r>
          <rPr>
            <b/>
            <sz val="8"/>
            <color indexed="81"/>
            <rFont val="Tahoma"/>
            <family val="2"/>
          </rPr>
          <t>Normimuutos 2010: karsinakasvatettavat eläimet + 10 % + kaikki sonnit + 10 %</t>
        </r>
      </text>
    </comment>
    <comment ref="B213" authorId="0" shapeId="0" xr:uid="{B39DD6F4-94CF-4ADC-A14A-BE7608FBBA0B}">
      <text>
        <r>
          <rPr>
            <b/>
            <u/>
            <sz val="8"/>
            <color indexed="81"/>
            <rFont val="Tahoma"/>
            <family val="2"/>
          </rPr>
          <t xml:space="preserve">ME-tarpeen laskeminen ja RY-tarpeen laskeminen
</t>
        </r>
        <r>
          <rPr>
            <b/>
            <sz val="8"/>
            <color indexed="81"/>
            <rFont val="Tahoma"/>
            <family val="2"/>
          </rPr>
          <t xml:space="preserve">Tarvittavat </t>
        </r>
        <r>
          <rPr>
            <b/>
            <sz val="8"/>
            <color indexed="81"/>
            <rFont val="Tahoma"/>
            <family val="2"/>
          </rPr>
          <t xml:space="preserve">parametrit ovat: 
elopaino (elop, kg) lisäkasvu (lk, kg/d) sekä dieetin q-arvo (ME/BE), jolle olen käyttänyt oletusarvoa 0.60.
Lisäksi tarvitaan eläinlajikoodi, jonka perusteella tehdään korjaus sekä ylläpitotarpeeseen 
että lisäkasvun tarpeeseen. Kaikki muut kaavassa olevat tekijät on laskettu näistä muuttujista:
Muuttujat (muuttujan nimi, selitys, kaava):
- me (ME-tarve, MJ/d) = nem/(km*ln(km/kg))*ln((km/(km-kg))/(km/(km-kg)-neg/nem-1)) 
- nem (nettoenergian tarve NE, MJ/d) = 0.53*exp(0.67*ln((elop/1.08)))*yp.k+0.0071*elop
- neg (nettoenergian tarve kasvussa, MJ/d) = ((4.1+0.0332*elop-0.000009*elop*elop)/(1-0.1475*lk))*lk*lk.k
elop (elopaino, kg)
el.laji (eläinlajikoodi)
yp.k (ylläpitokerroin)
q (dieetin q-arvo, oletus 0.60) = 0.60
km (ME:n hyväksikäyttö ylläpidossa dieetin q-arvon funktiona) = 0.35*q+0.503
kg (ME:n hyväksikäyttö kasvussa dieetin q-arvon funktiona) = 0.78*q+0.006
lk.k (lisäkasvutarpeen korjauskerroin) = [el.laji@1.30,1.15,1.00,1.15,1.00,0.85,1.00,0.85,0.70]
lk (lisäkasvu, kg/d)
ry.tarve (RY-tarve/d) = me/11.7
Lähteet: (kaavat ja lähdeluettelot toimitti arvon rohvessoori, Mikko Tuori HY)
ARC80 (Agricultural Research Council). 1980. The nutrient requirements of ruminant livestock, technical review. 351 p.
AFRC90 (Agricultural and Food Research Council). 1990. AFRC Technical Committeeon Responses to Nutrients, Report Number 5, Nutritive Requirements of Ruminant
Animal: Energy. Nutrition Abstracts and Reviews (Series B), 60: 729-804.
</t>
        </r>
      </text>
    </comment>
    <comment ref="B215" authorId="0" shapeId="0" xr:uid="{C42A80EB-5E78-4783-915C-2748C6B8A7E1}">
      <text>
        <r>
          <rPr>
            <b/>
            <sz val="8"/>
            <color indexed="81"/>
            <rFont val="Tahoma"/>
            <family val="2"/>
          </rPr>
          <t>q (dieetin q-arvo) oletus =  0.60
plaa,plaa,plaa</t>
        </r>
      </text>
    </comment>
    <comment ref="B216" authorId="0" shapeId="0" xr:uid="{16A2363A-6FEB-4171-8482-7DBB6C25C771}">
      <text>
        <r>
          <rPr>
            <b/>
            <sz val="8"/>
            <color indexed="81"/>
            <rFont val="Tahoma"/>
            <family val="2"/>
          </rPr>
          <t>km (ME:n hyväksikäyttö ylläpidossa dieetin q-arvon funktiona) = 0.35*q+0.503</t>
        </r>
      </text>
    </comment>
    <comment ref="B217" authorId="0" shapeId="0" xr:uid="{48984FFD-17D9-4D8C-BC59-55BC995B72AB}">
      <text>
        <r>
          <rPr>
            <b/>
            <sz val="8"/>
            <color indexed="81"/>
            <rFont val="Tahoma"/>
            <family val="2"/>
          </rPr>
          <t>kg (ME:n hyväksikäyttö kasvussa dieetin q-arvon funktiona) = 0.78*q+0.006</t>
        </r>
      </text>
    </comment>
    <comment ref="B218" authorId="0" shapeId="0" xr:uid="{FEDC0EC9-2B63-46E1-B841-4B336F5D6AE1}">
      <text>
        <r>
          <rPr>
            <b/>
            <sz val="8"/>
            <color indexed="81"/>
            <rFont val="Tahoma"/>
            <family val="2"/>
          </rPr>
          <t>lk.k (lisäkasvutarpeen korjauskerroin) = [el.laji@1.30,1.15,1.00,1.15,1.00,0.85,1.00,0.85,0.70]</t>
        </r>
      </text>
    </comment>
    <comment ref="D218" authorId="0" shapeId="0" xr:uid="{30138A54-A1A0-43C1-A73E-BE7FF6125A7C}">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F218" authorId="0" shapeId="0" xr:uid="{6037F919-B7E8-4C2B-A2E9-7542FC7D8B81}">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B219" authorId="0" shapeId="0" xr:uid="{4A4F1CD3-AABB-4C85-A606-441748A369E0}">
      <text>
        <r>
          <rPr>
            <b/>
            <sz val="8"/>
            <color indexed="81"/>
            <rFont val="Tahoma"/>
            <family val="2"/>
          </rPr>
          <t>yp.k (ylläpitokerroin)</t>
        </r>
      </text>
    </comment>
    <comment ref="D219" authorId="0" shapeId="0" xr:uid="{E99E16B4-B02A-4DD7-9E76-B62A57AC3FA4}">
      <text>
        <r>
          <rPr>
            <b/>
            <u/>
            <sz val="8"/>
            <color indexed="81"/>
            <rFont val="Tahoma"/>
            <family val="2"/>
          </rPr>
          <t xml:space="preserve">Korjauskertoimet ylläpidon energiantarpeen laskentaan
</t>
        </r>
        <r>
          <rPr>
            <b/>
            <sz val="8"/>
            <color indexed="81"/>
            <rFont val="Tahoma"/>
            <family val="2"/>
          </rPr>
          <t>- Hiehot  =1,00
- Härät    =1,00
- Sonnit   =1,15</t>
        </r>
      </text>
    </comment>
    <comment ref="F219" authorId="0" shapeId="0" xr:uid="{3E31664F-EE7F-4B33-A9A6-5AE004F13F54}">
      <text>
        <r>
          <rPr>
            <b/>
            <u/>
            <sz val="8"/>
            <color indexed="81"/>
            <rFont val="Tahoma"/>
            <family val="2"/>
          </rPr>
          <t xml:space="preserve">Korjauskertoimet ylläpidon energiantarpeen laskentaan
</t>
        </r>
        <r>
          <rPr>
            <b/>
            <sz val="8"/>
            <color indexed="81"/>
            <rFont val="Tahoma"/>
            <family val="2"/>
          </rPr>
          <t>- Hiehot  =1,00
- Härät    =1,00
- Sonnit   =1,15</t>
        </r>
      </text>
    </comment>
    <comment ref="B220" authorId="0" shapeId="0" xr:uid="{77A1F6F7-DB51-4B01-83D5-29BD9583A4A4}">
      <text>
        <r>
          <rPr>
            <b/>
            <sz val="8"/>
            <color indexed="81"/>
            <rFont val="Tahoma"/>
            <family val="2"/>
          </rPr>
          <t>lk (lisäkasvu, kg/d)</t>
        </r>
      </text>
    </comment>
    <comment ref="B221" authorId="0" shapeId="0" xr:uid="{7DA64C1E-1A9A-4FDF-B3D2-2834BD21CF29}">
      <text>
        <r>
          <rPr>
            <b/>
            <sz val="8"/>
            <color indexed="81"/>
            <rFont val="Tahoma"/>
            <family val="2"/>
          </rPr>
          <t>elop (elopaino, kg)</t>
        </r>
      </text>
    </comment>
    <comment ref="B222" authorId="0" shapeId="0" xr:uid="{F287F750-C38A-45E6-A04F-FBF95777BA3C}">
      <text>
        <r>
          <rPr>
            <b/>
            <sz val="8"/>
            <color indexed="81"/>
            <rFont val="Tahoma"/>
            <family val="2"/>
          </rPr>
          <t xml:space="preserve">- neg (nettoenergian tarve kasvussa, MJ/d) = ((4.1+0.0332*elop-0.000009*elop*elop)/(1-0.1475*lk))*lk*lk.k
</t>
        </r>
      </text>
    </comment>
    <comment ref="B223" authorId="0" shapeId="0" xr:uid="{7BEC371D-14FD-4CA5-BE94-0072F6C54916}">
      <text>
        <r>
          <rPr>
            <b/>
            <sz val="8"/>
            <color indexed="81"/>
            <rFont val="Tahoma"/>
            <family val="2"/>
          </rPr>
          <t>- nem (nettoenergian tarve NE, MJ/d) = 0.53*exp(0.67*ln((elop/1.08)))*yp.k+0.0071*elop</t>
        </r>
      </text>
    </comment>
    <comment ref="B224" authorId="0" shapeId="0" xr:uid="{756790E8-6EB8-43DC-A766-01DEA9F3285F}">
      <text>
        <r>
          <rPr>
            <b/>
            <sz val="8"/>
            <color indexed="81"/>
            <rFont val="Tahoma"/>
            <family val="2"/>
          </rPr>
          <t xml:space="preserve">- me (ME-tarve, MJ/d) = nem/(km*ln(km/kg))*ln((km/(km-kg))/(km/(km-kg)-neg/nem-1)) </t>
        </r>
      </text>
    </comment>
    <comment ref="B226" authorId="0" shapeId="0" xr:uid="{63DBE891-FE0D-4989-88EF-D8FB4C0F03FA}">
      <text>
        <r>
          <rPr>
            <b/>
            <sz val="8"/>
            <color indexed="81"/>
            <rFont val="Tahoma"/>
            <family val="2"/>
          </rPr>
          <t>Normimuutos 2010: karsinakasvatettavat eläimet + 10 % + kaikki sonnit + 10 %</t>
        </r>
      </text>
    </comment>
    <comment ref="B228" authorId="0" shapeId="0" xr:uid="{6FB55514-3CC3-46A2-AE3F-88A8E0AF7E8B}">
      <text>
        <r>
          <rPr>
            <b/>
            <u/>
            <sz val="8"/>
            <color indexed="81"/>
            <rFont val="Tahoma"/>
            <family val="2"/>
          </rPr>
          <t xml:space="preserve">ME-tarpeen laskeminen ja RY-tarpeen laskeminen
</t>
        </r>
        <r>
          <rPr>
            <b/>
            <sz val="8"/>
            <color indexed="81"/>
            <rFont val="Tahoma"/>
            <family val="2"/>
          </rPr>
          <t xml:space="preserve">Tarvittavat </t>
        </r>
        <r>
          <rPr>
            <b/>
            <sz val="8"/>
            <color indexed="81"/>
            <rFont val="Tahoma"/>
            <family val="2"/>
          </rPr>
          <t xml:space="preserve">parametrit ovat: 
elopaino (elop, kg) lisäkasvu (lk, kg/d) sekä dieetin q-arvo (ME/BE), jolle olen käyttänyt oletusarvoa 0.60.
Lisäksi tarvitaan eläinlajikoodi, jonka perusteella tehdään korjaus sekä ylläpitotarpeeseen 
että lisäkasvun tarpeeseen. Kaikki muut kaavassa olevat tekijät on laskettu näistä muuttujista:
Muuttujat (muuttujan nimi, selitys, kaava):
- me (ME-tarve, MJ/d) = nem/(km*ln(km/kg))*ln((km/(km-kg))/(km/(km-kg)-neg/nem-1)) 
- nem (nettoenergian tarve NE, MJ/d) = 0.53*exp(0.67*ln((elop/1.08)))*yp.k+0.0071*elop
- neg (nettoenergian tarve kasvussa, MJ/d) = ((4.1+0.0332*elop-0.000009*elop*elop)/(1-0.1475*lk))*lk*lk.k
elop (elopaino, kg)
el.laji (eläinlajikoodi)
yp.k (ylläpitokerroin)
q (dieetin q-arvo, oletus 0.60) = 0.60
km (ME:n hyväksikäyttö ylläpidossa dieetin q-arvon funktiona) = 0.35*q+0.503
kg (ME:n hyväksikäyttö kasvussa dieetin q-arvon funktiona) = 0.78*q+0.006
lk.k (lisäkasvutarpeen korjauskerroin) = [el.laji@1.30,1.15,1.00,1.15,1.00,0.85,1.00,0.85,0.70]
lk (lisäkasvu, kg/d)
ry.tarve (RY-tarve/d) = me/11.7
Lähteet: (kaavat ja lähdeluettelot toimitti arvon rohvessoori, Mikko Tuori HY)
ARC80 (Agricultural Research Council). 1980. The nutrient requirements of ruminant livestock, technical review. 351 p.
AFRC90 (Agricultural and Food Research Council). 1990. AFRC Technical Committeeon Responses to Nutrients, Report Number 5, Nutritive Requirements of Ruminant
Animal: Energy. Nutrition Abstracts and Reviews (Series B), 60: 729-804.
</t>
        </r>
      </text>
    </comment>
    <comment ref="B230" authorId="0" shapeId="0" xr:uid="{468D1975-60B0-49B3-85E7-6299B0386ED1}">
      <text>
        <r>
          <rPr>
            <b/>
            <sz val="8"/>
            <color indexed="81"/>
            <rFont val="Tahoma"/>
            <family val="2"/>
          </rPr>
          <t>q (dieetin q-arvo) oletus =  0.60
plaa,plaa,plaa</t>
        </r>
      </text>
    </comment>
    <comment ref="B231" authorId="0" shapeId="0" xr:uid="{31E51BCA-6CDB-4199-91F7-FE509C072A62}">
      <text>
        <r>
          <rPr>
            <b/>
            <sz val="8"/>
            <color indexed="81"/>
            <rFont val="Tahoma"/>
            <family val="2"/>
          </rPr>
          <t>km (ME:n hyväksikäyttö ylläpidossa dieetin q-arvon funktiona) = 0.35*q+0.503</t>
        </r>
      </text>
    </comment>
    <comment ref="B232" authorId="0" shapeId="0" xr:uid="{3709C399-7DA6-4065-A886-DD61350B7B26}">
      <text>
        <r>
          <rPr>
            <b/>
            <sz val="8"/>
            <color indexed="81"/>
            <rFont val="Tahoma"/>
            <family val="2"/>
          </rPr>
          <t>kg (ME:n hyväksikäyttö kasvussa dieetin q-arvon funktiona) = 0.78*q+0.006</t>
        </r>
      </text>
    </comment>
    <comment ref="B233" authorId="0" shapeId="0" xr:uid="{574BD41C-D0AE-4474-8B28-E350F5722DD3}">
      <text>
        <r>
          <rPr>
            <b/>
            <sz val="8"/>
            <color indexed="81"/>
            <rFont val="Tahoma"/>
            <family val="2"/>
          </rPr>
          <t>lk.k (lisäkasvutarpeen korjauskerroin) = [el.laji@1.30,1.15,1.00,1.15,1.00,0.85,1.00,0.85,0.70]</t>
        </r>
      </text>
    </comment>
    <comment ref="D233" authorId="0" shapeId="0" xr:uid="{22BC6CAA-6D70-4B9D-A8CA-9A352AB8B7A0}">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F233" authorId="0" shapeId="0" xr:uid="{D8732EAF-F9E0-4859-B9A2-969841DE825F}">
      <text>
        <r>
          <rPr>
            <b/>
            <u/>
            <sz val="8"/>
            <color indexed="81"/>
            <rFont val="Tahoma"/>
            <family val="2"/>
          </rPr>
          <t>Korjauskertoimet lisäkasvun energiantarpeen laskentaan eläinlajeittain</t>
        </r>
        <r>
          <rPr>
            <b/>
            <sz val="8"/>
            <color indexed="81"/>
            <rFont val="Tahoma"/>
            <family val="2"/>
          </rPr>
          <t xml:space="preserve">
- Hieho; pieni hyvin aikaisin kehittyvä rotu           = 1.30
- Hieho; keskikokoinen, aikaisin kehittyvä rotu   = 1.15
- Hieho; suuri myöhään kehittyvä rotu                   = 1.00
- Härkä; pieni hyvin aikaisin kehittyvä rotu          = 1.15
- Härkä; keskikokoinen, aikaisin kehittyvä rotu  = 1.00
- Härkä; suuri myöhään kehittyvä rotu                  = 0.85
- Sonni; pieni hyvin aikaisin kehittyvä rotu           = 1.00
- Sonni; keskikokoinen, aikaisin kehittyvä rotu   = 0.85
- Sonni; suuri myöhään kehittyvä rotu                   = 0.70
</t>
        </r>
      </text>
    </comment>
    <comment ref="B234" authorId="0" shapeId="0" xr:uid="{256CF72C-2751-41EF-BED1-FE2AA694BB55}">
      <text>
        <r>
          <rPr>
            <b/>
            <sz val="8"/>
            <color indexed="81"/>
            <rFont val="Tahoma"/>
            <family val="2"/>
          </rPr>
          <t>yp.k (ylläpitokerroin)</t>
        </r>
      </text>
    </comment>
    <comment ref="D234" authorId="0" shapeId="0" xr:uid="{1A224877-0D2E-401D-A8F5-E9CC97A2787E}">
      <text>
        <r>
          <rPr>
            <b/>
            <u/>
            <sz val="8"/>
            <color indexed="81"/>
            <rFont val="Tahoma"/>
            <family val="2"/>
          </rPr>
          <t xml:space="preserve">Korjauskertoimet ylläpidon energiantarpeen laskentaan
</t>
        </r>
        <r>
          <rPr>
            <b/>
            <sz val="8"/>
            <color indexed="81"/>
            <rFont val="Tahoma"/>
            <family val="2"/>
          </rPr>
          <t>- Hiehot  =1,00
- Härät    =1,00
- Sonnit   =1,15</t>
        </r>
      </text>
    </comment>
    <comment ref="F234" authorId="0" shapeId="0" xr:uid="{126914DC-89D3-4860-882C-0E2694761CCC}">
      <text>
        <r>
          <rPr>
            <b/>
            <u/>
            <sz val="8"/>
            <color indexed="81"/>
            <rFont val="Tahoma"/>
            <family val="2"/>
          </rPr>
          <t xml:space="preserve">Korjauskertoimet ylläpidon energiantarpeen laskentaan
</t>
        </r>
        <r>
          <rPr>
            <b/>
            <sz val="8"/>
            <color indexed="81"/>
            <rFont val="Tahoma"/>
            <family val="2"/>
          </rPr>
          <t>- Hiehot  =1,00
- Härät    =1,00
- Sonnit   =1,15</t>
        </r>
      </text>
    </comment>
    <comment ref="B235" authorId="0" shapeId="0" xr:uid="{D960BE21-E137-46F8-BD12-A88AF69E2388}">
      <text>
        <r>
          <rPr>
            <b/>
            <sz val="8"/>
            <color indexed="81"/>
            <rFont val="Tahoma"/>
            <family val="2"/>
          </rPr>
          <t>lk (lisäkasvu, kg/d)</t>
        </r>
      </text>
    </comment>
    <comment ref="B236" authorId="0" shapeId="0" xr:uid="{AD005047-8231-493F-9F4E-776F57BD8FF3}">
      <text>
        <r>
          <rPr>
            <b/>
            <sz val="8"/>
            <color indexed="81"/>
            <rFont val="Tahoma"/>
            <family val="2"/>
          </rPr>
          <t>elop (elopaino, kg)</t>
        </r>
      </text>
    </comment>
    <comment ref="B237" authorId="0" shapeId="0" xr:uid="{61077909-5330-4678-B7F5-20026784D4EB}">
      <text>
        <r>
          <rPr>
            <b/>
            <sz val="8"/>
            <color indexed="81"/>
            <rFont val="Tahoma"/>
            <family val="2"/>
          </rPr>
          <t xml:space="preserve">- neg (nettoenergian tarve kasvussa, MJ/d) = ((4.1+0.0332*elop-0.000009*elop*elop)/(1-0.1475*lk))*lk*lk.k
</t>
        </r>
      </text>
    </comment>
    <comment ref="B238" authorId="0" shapeId="0" xr:uid="{543435DD-CEF9-41AA-8CD0-DCF6B22296A0}">
      <text>
        <r>
          <rPr>
            <b/>
            <sz val="8"/>
            <color indexed="81"/>
            <rFont val="Tahoma"/>
            <family val="2"/>
          </rPr>
          <t>- nem (nettoenergian tarve NE, MJ/d) = 0.53*exp(0.67*ln((elop/1.08)))*yp.k+0.0071*elop</t>
        </r>
      </text>
    </comment>
    <comment ref="B239" authorId="0" shapeId="0" xr:uid="{35775371-0CDE-4D14-9B85-18984595783E}">
      <text>
        <r>
          <rPr>
            <b/>
            <sz val="8"/>
            <color indexed="81"/>
            <rFont val="Tahoma"/>
            <family val="2"/>
          </rPr>
          <t xml:space="preserve">- me (ME-tarve, MJ/d) = nem/(km*ln(km/kg))*ln((km/(km-kg))/(km/(km-kg)-neg/nem-1)) </t>
        </r>
      </text>
    </comment>
  </commentList>
</comments>
</file>

<file path=xl/sharedStrings.xml><?xml version="1.0" encoding="utf-8"?>
<sst xmlns="http://schemas.openxmlformats.org/spreadsheetml/2006/main" count="538" uniqueCount="201">
  <si>
    <t>kg</t>
  </si>
  <si>
    <t>%</t>
  </si>
  <si>
    <t>pv</t>
  </si>
  <si>
    <t>MJ</t>
  </si>
  <si>
    <t>kg/pv</t>
  </si>
  <si>
    <t>kk</t>
  </si>
  <si>
    <t>Energiakorjattumaitotuotos EKM</t>
  </si>
  <si>
    <t>Energian tarve ylläpitoon</t>
  </si>
  <si>
    <t>Energian tarve maidontuotantoon</t>
  </si>
  <si>
    <t>Tineyslisä</t>
  </si>
  <si>
    <t>AB</t>
  </si>
  <si>
    <t>HF</t>
  </si>
  <si>
    <t>BL</t>
  </si>
  <si>
    <t>LI</t>
  </si>
  <si>
    <t>SI</t>
  </si>
  <si>
    <t>CH</t>
  </si>
  <si>
    <t>Energiantarve päivässä keskimäärin</t>
  </si>
  <si>
    <t>D-arvo</t>
  </si>
  <si>
    <t>Alle 600</t>
  </si>
  <si>
    <t>600-670</t>
  </si>
  <si>
    <t>Yli 670</t>
  </si>
  <si>
    <t>Ylläpitokausi</t>
  </si>
  <si>
    <t>Imetyskausi</t>
  </si>
  <si>
    <t>Tiineyden viimeinen kuukausi</t>
  </si>
  <si>
    <t>Maksimisyönti elopainosta</t>
  </si>
  <si>
    <t>Syöntipotentiaali imetyskaudella</t>
  </si>
  <si>
    <t>Syöntipotentiaali ylläpitokaudella</t>
  </si>
  <si>
    <t>Syöntipotentiaali tiineyden viimeisellä kuukaudella</t>
  </si>
  <si>
    <t>Kgka/pv</t>
  </si>
  <si>
    <t>Kgka</t>
  </si>
  <si>
    <t>% elopainosta</t>
  </si>
  <si>
    <t>MJ/pv</t>
  </si>
  <si>
    <t>Emolehmien ja vasikoiden syömän rehumäärän arviointia laidunkaudella</t>
  </si>
  <si>
    <t>Poikiminen keskimäärin</t>
  </si>
  <si>
    <t>Vieroitus keskimäärin</t>
  </si>
  <si>
    <t xml:space="preserve">Laidunkauden aloitus </t>
  </si>
  <si>
    <t>Laidunkauden lopetus</t>
  </si>
  <si>
    <t>Laidunkauden pituus</t>
  </si>
  <si>
    <t>Vieroitusikä keskimäärin</t>
  </si>
  <si>
    <t>pvm</t>
  </si>
  <si>
    <t>Maidon valkuais %</t>
  </si>
  <si>
    <t>Maidon rasva %</t>
  </si>
  <si>
    <t>Energiantarve laidunkaudella</t>
  </si>
  <si>
    <t>Rehun energia-arvo</t>
  </si>
  <si>
    <t>MJ/kgka</t>
  </si>
  <si>
    <t>Kuiva-aineen syönti energiantarpeen kautta</t>
  </si>
  <si>
    <t>kgka</t>
  </si>
  <si>
    <t>Laidunkaudesta imetyskautta</t>
  </si>
  <si>
    <t>Laiduntavien emolehmien määrä</t>
  </si>
  <si>
    <t>Lehmävasikoiden määrä</t>
  </si>
  <si>
    <t>Sonnivasikkoiden kasvu</t>
  </si>
  <si>
    <t>Lehmävasikoiden kasvu</t>
  </si>
  <si>
    <t>Hiehojen määrä (yli 12 kk) määrä</t>
  </si>
  <si>
    <t xml:space="preserve">Sonnivasikoiden määrä </t>
  </si>
  <si>
    <t>Siitossonnien määrä</t>
  </si>
  <si>
    <t>Emojen elopaino keskimäärin</t>
  </si>
  <si>
    <t>Emojen maidontuotanto keskimäärin</t>
  </si>
  <si>
    <t>g/pv</t>
  </si>
  <si>
    <t>kpl</t>
  </si>
  <si>
    <t>Sonnivasikoiden vieroituspaino</t>
  </si>
  <si>
    <t>Iso (ch, si)</t>
  </si>
  <si>
    <t>Keski (li, ba)</t>
  </si>
  <si>
    <t>Pieni (ab, hf)</t>
  </si>
  <si>
    <t>rotuyhdistelmät</t>
  </si>
  <si>
    <t>Korjauskerroin, sonnit</t>
  </si>
  <si>
    <t>Korjauskerroin, hiehot</t>
  </si>
  <si>
    <t>iso+iso</t>
  </si>
  <si>
    <t>1+1</t>
  </si>
  <si>
    <t>iso+keskik</t>
  </si>
  <si>
    <t>1+2</t>
  </si>
  <si>
    <t>iso+pieni</t>
  </si>
  <si>
    <t>1+3</t>
  </si>
  <si>
    <t>keskik+iso</t>
  </si>
  <si>
    <t>2+1</t>
  </si>
  <si>
    <t>keskik+keskik</t>
  </si>
  <si>
    <t>2+2</t>
  </si>
  <si>
    <t>keskik+pieni</t>
  </si>
  <si>
    <t>2+3</t>
  </si>
  <si>
    <t>pieni+iso</t>
  </si>
  <si>
    <t>3+1</t>
  </si>
  <si>
    <t>pieni+keskik</t>
  </si>
  <si>
    <t>3+2</t>
  </si>
  <si>
    <t>pieni+pieni</t>
  </si>
  <si>
    <t>3+3</t>
  </si>
  <si>
    <t>Korjauskertoimet lisäkasvun energiantarpeen laskentaan eläinlajeittain</t>
  </si>
  <si>
    <t>vrk</t>
  </si>
  <si>
    <t>Sonnivasikoiden syntymäpaino</t>
  </si>
  <si>
    <t>Lehmävasikoiden syntymäpaino</t>
  </si>
  <si>
    <t>Kg</t>
  </si>
  <si>
    <t>Lehmävasikoiden vieroituspaino</t>
  </si>
  <si>
    <t>Kasvatusajan keskim. elopaino, sonnivasikat syntymästä vieroitukseen</t>
  </si>
  <si>
    <t>Kasvatusajan keskim. elopaino, lehmävasikat syntymästä vieroitukseen</t>
  </si>
  <si>
    <t>Kasvatusajan keskimääräinen elopaino, uudistushiehot</t>
  </si>
  <si>
    <t>Kasvatusajan keskimääräinen elopaino, siitossonnit</t>
  </si>
  <si>
    <t>Elopainon kasvu päivässä, uudistushiehot</t>
  </si>
  <si>
    <t>Elopainon kasvu päivässä, siitossonnit</t>
  </si>
  <si>
    <t>Syntymäpaino</t>
  </si>
  <si>
    <t>Sonni</t>
  </si>
  <si>
    <t>Lehmä</t>
  </si>
  <si>
    <t>Siitossonnin paino</t>
  </si>
  <si>
    <t>Vasikoiden ikä laidunkauden puolivälissä</t>
  </si>
  <si>
    <t>Uudistushiehojen ikä laidunkauden puolivälissä</t>
  </si>
  <si>
    <t>Elopainon kasvu päivässä, sonnivasikat</t>
  </si>
  <si>
    <t xml:space="preserve">Elopainon kasvu päivässä, lehmävasikat </t>
  </si>
  <si>
    <t>Rehunkulutuksen laskenta</t>
  </si>
  <si>
    <t>Uudistushiehot</t>
  </si>
  <si>
    <t>PARAMETRIT:</t>
  </si>
  <si>
    <t xml:space="preserve">Dieetin q-arvo (q) </t>
  </si>
  <si>
    <t>ME:n hyväksikäyttö ylläpidossa (km)</t>
  </si>
  <si>
    <t>ME:n hyväksikäyttö kasvussa (kg)</t>
  </si>
  <si>
    <t>Lisäkasvun korjauskerroin (lk.k)</t>
  </si>
  <si>
    <t>Ylläpitokerroin (yp.k)</t>
  </si>
  <si>
    <t>Lisäkasvu (lk)</t>
  </si>
  <si>
    <t>Kg/vrk</t>
  </si>
  <si>
    <t>Elopaino (elop)</t>
  </si>
  <si>
    <t>Nettoenergian tarve kasvuun (neg)</t>
  </si>
  <si>
    <t>Nettoenergian tarve ylläpitoon (nem)</t>
  </si>
  <si>
    <t>Muuntokelpoisenenergian tarve yhteensä (me)</t>
  </si>
  <si>
    <t>Normin oma muutos??</t>
  </si>
  <si>
    <t>Muuntokelpoisenenergian tarve normimuutoksen jälkeen</t>
  </si>
  <si>
    <t>MJ/vrk</t>
  </si>
  <si>
    <t>Siitossonnit</t>
  </si>
  <si>
    <t>Myytävät sonnivasikat, syntymästä vieroitukseen</t>
  </si>
  <si>
    <t>Myytävät lehmävasikat, syntymästä vieroitukseen</t>
  </si>
  <si>
    <t>Vasikoiden rotuyhdistelmä</t>
  </si>
  <si>
    <t>Sonnivasikoiden korjauskerroin</t>
  </si>
  <si>
    <t>Lehmävasikoiden korjauskerroin</t>
  </si>
  <si>
    <t>Laidunrehun D-arvo</t>
  </si>
  <si>
    <t>Emolehmät</t>
  </si>
  <si>
    <t>Sonnivasikat</t>
  </si>
  <si>
    <t>Lehmävasikat</t>
  </si>
  <si>
    <t>Yhteensä</t>
  </si>
  <si>
    <t>Lisäruokinta</t>
  </si>
  <si>
    <t>Maito vasikoille</t>
  </si>
  <si>
    <t>Säilörehun kuiva-aine</t>
  </si>
  <si>
    <t>Säilörehun D-arvo</t>
  </si>
  <si>
    <t>Säilörehusta</t>
  </si>
  <si>
    <t>Lisäruokinnan energia yhteensä</t>
  </si>
  <si>
    <t>Väkirehun kuiva-aine</t>
  </si>
  <si>
    <t>Väkirehun energia-arvo</t>
  </si>
  <si>
    <t>Väkirehusta energiaa</t>
  </si>
  <si>
    <t>Energian tarve - lisäruokinnan energia</t>
  </si>
  <si>
    <t>Laitumelta kuiva-ainetta</t>
  </si>
  <si>
    <t>Laidunala, ha</t>
  </si>
  <si>
    <t>ha</t>
  </si>
  <si>
    <t>kgka/ha</t>
  </si>
  <si>
    <t>Syöntipotentiaalin ja energiantarpeeen ero</t>
  </si>
  <si>
    <t>Kgka/lehmä</t>
  </si>
  <si>
    <t>Laitumen kuiva-ainesato emojen maksimisyönnin mukaan</t>
  </si>
  <si>
    <t>(Rehua jatkuvasti vapaasti saatavilla)</t>
  </si>
  <si>
    <t>Emolehmien maksimisyönnin mukaan laskettu saanti</t>
  </si>
  <si>
    <t>Ero energian tarpeeseen</t>
  </si>
  <si>
    <t>Maksimisyönti energiantarpeeseen verrattuna</t>
  </si>
  <si>
    <t>Yhteenveto energian tarpeesta laidunkaudella koko karja</t>
  </si>
  <si>
    <t>Yhteenveto energian tarpeesta laidunkaudella eläintä kohti päivässä</t>
  </si>
  <si>
    <t>Erotus energiantarpeen ja maksimisyönnin mukaan laskettuna</t>
  </si>
  <si>
    <t>Laitumen kuiva-ainesato energian tarpeen mukaan</t>
  </si>
  <si>
    <t>Arvio rehun jatkuvasta vapaasta saatavuudesta</t>
  </si>
  <si>
    <t>Arvio laitumen kuiva-ainesadosta</t>
  </si>
  <si>
    <t>% ajasta</t>
  </si>
  <si>
    <t>LÄHTÖTIETOJA</t>
  </si>
  <si>
    <t>Rotu</t>
  </si>
  <si>
    <t>Kevätpoikivat</t>
  </si>
  <si>
    <t>Syyspoikivat</t>
  </si>
  <si>
    <t>Pääasiallinen emolehmien rotu (valitse pudotusvalikosta)</t>
  </si>
  <si>
    <t>Pääasiallinen isärotu (valitse pudotusvalikosta)</t>
  </si>
  <si>
    <t>Laidunkaudesta alkutiineyskautta</t>
  </si>
  <si>
    <t>Laidunkaudesta lopputiineyttä (viim. 30 pv)</t>
  </si>
  <si>
    <t>Poikimisesta laidunkauden alkuun</t>
  </si>
  <si>
    <t>Täytä tiedot sinisellä fontilla oleviin soluihin</t>
  </si>
  <si>
    <t>Poikimisesta laidunkauden loppuun</t>
  </si>
  <si>
    <t>Eläinmäärät</t>
  </si>
  <si>
    <t>Vasikoiden laidunkausi alkaa</t>
  </si>
  <si>
    <t>Vasikoiden laidunkausi loppuu</t>
  </si>
  <si>
    <t>Emojen laidunkausi yhteensä</t>
  </si>
  <si>
    <t>Emojen ja vasikoiden laidunkausi</t>
  </si>
  <si>
    <t xml:space="preserve">Vasikoiden laidunkausi </t>
  </si>
  <si>
    <t>Emojen energiantarve laidunkaudella</t>
  </si>
  <si>
    <t>Tiineyspäivät tiineyden 7. kuukausi</t>
  </si>
  <si>
    <t>Tiineyspäivät tiineyden 8. kuukausi</t>
  </si>
  <si>
    <t>Tiineyspäivät tiineyden 9. kuukausi</t>
  </si>
  <si>
    <t>Laidunkaudesta maidontuotantokautta</t>
  </si>
  <si>
    <t>Maitotuotos keskimäärin jaettuna koko emojen laidunkaudelle</t>
  </si>
  <si>
    <t>Emojen kuiva-aineen maksimisyönti</t>
  </si>
  <si>
    <t>Syöntipotentiaali laidunkaudella yhteensä</t>
  </si>
  <si>
    <t>Taustatietoja vasikoiden ja hiehojen energiantarpeen laskentaan</t>
  </si>
  <si>
    <t>Lähtiedot vasikoiden ja hiehojen energiantarpeen laskentaan</t>
  </si>
  <si>
    <t>Laidunkausi, poikiminen, vieroitus</t>
  </si>
  <si>
    <t>Rodut, emojen paino, maitotuotos, vasikoiden kasvut</t>
  </si>
  <si>
    <t>Syötetty säilörehumäärä, tuorepaino</t>
  </si>
  <si>
    <t>Syötetty välirehumäärä</t>
  </si>
  <si>
    <t>g/kgka</t>
  </si>
  <si>
    <t>Laitumen satotason arviointi</t>
  </si>
  <si>
    <t>Emojen</t>
  </si>
  <si>
    <t>elopaino</t>
  </si>
  <si>
    <t>maitotuotos</t>
  </si>
  <si>
    <t>Päivitykset</t>
  </si>
  <si>
    <t>Muutos</t>
  </si>
  <si>
    <t>Laitumen sadon arviointityökalu emolehmätilojen käyttöön</t>
  </si>
  <si>
    <t>Ensimmäinen versio laskurista</t>
  </si>
  <si>
    <t>Laskuria päivitetty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</si>
</sst>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
    <numFmt numFmtId="166" formatCode="#,##0.0"/>
    <numFmt numFmtId="167" formatCode="0.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sz val="11"/>
      <name val="Calibri"/>
      <family val="2"/>
      <scheme val="minor"/>
    </font>
    <font>
      <b/>
      <u/>
      <sz val="8"/>
      <color indexed="81"/>
      <name val="Tahoma"/>
      <family val="2"/>
    </font>
    <font>
      <b/>
      <sz val="8"/>
      <color indexed="81"/>
      <name val="Tahoma"/>
      <family val="2"/>
    </font>
    <font>
      <b/>
      <sz val="11"/>
      <name val="Calibri"/>
      <family val="2"/>
      <scheme val="minor"/>
    </font>
    <font>
      <sz val="11"/>
      <color rgb="FF00B050"/>
      <name val="Calibri"/>
      <family val="2"/>
      <scheme val="minor"/>
    </font>
    <font>
      <sz val="11"/>
      <color indexed="10"/>
      <name val="Calibri"/>
      <family val="2"/>
      <scheme val="minor"/>
    </font>
    <font>
      <b/>
      <sz val="11"/>
      <color indexed="12"/>
      <name val="Calibri"/>
      <family val="2"/>
      <scheme val="minor"/>
    </font>
    <font>
      <sz val="11"/>
      <color theme="0"/>
      <name val="Calibri"/>
      <family val="2"/>
      <scheme val="minor"/>
    </font>
    <font>
      <sz val="11"/>
      <color theme="0" tint="-0.499984740745262"/>
      <name val="Calibri"/>
      <family val="2"/>
      <scheme val="minor"/>
    </font>
    <font>
      <sz val="9"/>
      <color indexed="81"/>
      <name val="Tahoma"/>
      <family val="2"/>
    </font>
    <font>
      <b/>
      <sz val="9"/>
      <color indexed="81"/>
      <name val="Tahoma"/>
      <family val="2"/>
    </font>
    <font>
      <b/>
      <sz val="14"/>
      <color theme="1"/>
      <name val="Calibri"/>
      <family val="2"/>
      <scheme val="minor"/>
    </font>
    <font>
      <sz val="11"/>
      <color rgb="FF333333"/>
      <name val="Arial"/>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right/>
      <top/>
      <bottom style="dashed">
        <color auto="1"/>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0" fontId="0" fillId="0" borderId="1" xfId="0" applyBorder="1"/>
    <xf numFmtId="9" fontId="0" fillId="0" borderId="0" xfId="1" applyFont="1"/>
    <xf numFmtId="165" fontId="0" fillId="0" borderId="0" xfId="1" applyNumberFormat="1" applyFont="1"/>
    <xf numFmtId="0" fontId="4" fillId="0" borderId="0" xfId="0" applyFont="1"/>
    <xf numFmtId="0" fontId="5" fillId="0" borderId="0" xfId="0" applyFont="1"/>
    <xf numFmtId="0" fontId="5" fillId="0" borderId="0" xfId="0" applyFont="1" applyAlignment="1">
      <alignment horizontal="right"/>
    </xf>
    <xf numFmtId="0" fontId="6" fillId="0" borderId="0" xfId="0" applyFont="1" applyFill="1" applyBorder="1" applyProtection="1">
      <protection locked="0"/>
    </xf>
    <xf numFmtId="167" fontId="6" fillId="0" borderId="0" xfId="0" applyNumberFormat="1" applyFont="1" applyFill="1" applyBorder="1" applyProtection="1">
      <protection locked="0"/>
    </xf>
    <xf numFmtId="0" fontId="6" fillId="0" borderId="0" xfId="0" applyFont="1" applyFill="1" applyBorder="1"/>
    <xf numFmtId="0" fontId="6" fillId="0" borderId="0" xfId="0" applyFont="1" applyFill="1" applyBorder="1" applyAlignment="1" applyProtection="1">
      <alignment horizontal="left"/>
      <protection locked="0"/>
    </xf>
    <xf numFmtId="0" fontId="6" fillId="0" borderId="0" xfId="0" applyFont="1" applyBorder="1" applyProtection="1">
      <protection locked="0"/>
    </xf>
    <xf numFmtId="1"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left"/>
      <protection locked="0"/>
    </xf>
    <xf numFmtId="1" fontId="10" fillId="0" borderId="0" xfId="0" applyNumberFormat="1" applyFont="1" applyBorder="1" applyAlignment="1" applyProtection="1">
      <alignment horizontal="left"/>
      <protection locked="0"/>
    </xf>
    <xf numFmtId="1" fontId="10" fillId="0" borderId="0" xfId="0" applyNumberFormat="1" applyFont="1" applyFill="1" applyBorder="1" applyProtection="1">
      <protection locked="0"/>
    </xf>
    <xf numFmtId="1" fontId="6" fillId="0" borderId="1" xfId="0" applyNumberFormat="1" applyFont="1" applyBorder="1" applyAlignment="1" applyProtection="1">
      <alignment horizontal="left"/>
      <protection locked="0"/>
    </xf>
    <xf numFmtId="0" fontId="11" fillId="0" borderId="0" xfId="0" applyFont="1"/>
    <xf numFmtId="0" fontId="11" fillId="0" borderId="0" xfId="0" applyFont="1" applyFill="1" applyBorder="1" applyProtection="1">
      <protection locked="0"/>
    </xf>
    <xf numFmtId="0" fontId="6" fillId="0" borderId="0" xfId="0" applyFont="1"/>
    <xf numFmtId="0" fontId="6" fillId="0" borderId="0" xfId="0" applyFont="1" applyBorder="1"/>
    <xf numFmtId="1" fontId="6" fillId="0" borderId="0" xfId="0" applyNumberFormat="1" applyFont="1" applyFill="1" applyBorder="1" applyProtection="1">
      <protection locked="0"/>
    </xf>
    <xf numFmtId="0" fontId="6" fillId="0" borderId="0" xfId="0" applyFont="1" applyFill="1" applyBorder="1" applyAlignment="1" applyProtection="1">
      <alignment horizontal="right"/>
      <protection locked="0"/>
    </xf>
    <xf numFmtId="2" fontId="6" fillId="0" borderId="0" xfId="0" applyNumberFormat="1" applyFont="1" applyBorder="1" applyProtection="1">
      <protection locked="0"/>
    </xf>
    <xf numFmtId="2" fontId="6" fillId="0" borderId="1" xfId="0" applyNumberFormat="1" applyFont="1" applyBorder="1" applyProtection="1">
      <protection locked="0"/>
    </xf>
    <xf numFmtId="1" fontId="6" fillId="0" borderId="0" xfId="0" applyNumberFormat="1" applyFont="1" applyBorder="1" applyProtection="1">
      <protection locked="0"/>
    </xf>
    <xf numFmtId="2" fontId="6" fillId="0" borderId="0" xfId="0" applyNumberFormat="1" applyFont="1" applyFill="1" applyBorder="1" applyProtection="1">
      <protection locked="0"/>
    </xf>
    <xf numFmtId="2" fontId="6" fillId="0" borderId="2" xfId="0" applyNumberFormat="1" applyFont="1" applyBorder="1" applyProtection="1">
      <protection locked="0"/>
    </xf>
    <xf numFmtId="1" fontId="6" fillId="0" borderId="2" xfId="0" applyNumberFormat="1" applyFont="1" applyBorder="1" applyAlignment="1" applyProtection="1">
      <alignment horizontal="left"/>
      <protection locked="0"/>
    </xf>
    <xf numFmtId="2" fontId="6" fillId="0" borderId="2" xfId="0" applyNumberFormat="1" applyFont="1" applyFill="1" applyBorder="1" applyProtection="1">
      <protection locked="0"/>
    </xf>
    <xf numFmtId="2" fontId="12" fillId="0" borderId="0" xfId="0" applyNumberFormat="1" applyFont="1" applyBorder="1" applyAlignment="1" applyProtection="1">
      <alignment horizontal="right"/>
      <protection locked="0"/>
    </xf>
    <xf numFmtId="1" fontId="12" fillId="0" borderId="0" xfId="0" applyNumberFormat="1" applyFont="1" applyBorder="1" applyProtection="1">
      <protection locked="0"/>
    </xf>
    <xf numFmtId="164" fontId="6" fillId="0" borderId="1" xfId="0" applyNumberFormat="1" applyFont="1" applyFill="1" applyBorder="1" applyProtection="1">
      <protection locked="0"/>
    </xf>
    <xf numFmtId="0" fontId="3" fillId="0" borderId="1" xfId="0" applyFont="1" applyBorder="1"/>
    <xf numFmtId="0" fontId="0" fillId="0" borderId="2" xfId="0" applyBorder="1"/>
    <xf numFmtId="3" fontId="5" fillId="0" borderId="2" xfId="0" applyNumberFormat="1" applyFont="1" applyBorder="1"/>
    <xf numFmtId="0" fontId="0" fillId="0" borderId="0" xfId="0" applyBorder="1"/>
    <xf numFmtId="1" fontId="5" fillId="0" borderId="0" xfId="0" applyNumberFormat="1" applyFont="1" applyBorder="1"/>
    <xf numFmtId="1" fontId="5" fillId="0" borderId="1" xfId="0" applyNumberFormat="1" applyFont="1" applyBorder="1"/>
    <xf numFmtId="0" fontId="0" fillId="0" borderId="0" xfId="0" applyFill="1" applyBorder="1"/>
    <xf numFmtId="0" fontId="3" fillId="0" borderId="3" xfId="0" applyFont="1" applyFill="1" applyBorder="1"/>
    <xf numFmtId="3" fontId="6" fillId="0" borderId="2" xfId="0" applyNumberFormat="1" applyFont="1" applyBorder="1"/>
    <xf numFmtId="3" fontId="6" fillId="0" borderId="0" xfId="0" applyNumberFormat="1" applyFont="1" applyBorder="1"/>
    <xf numFmtId="3" fontId="6" fillId="0" borderId="1" xfId="0" applyNumberFormat="1" applyFont="1" applyBorder="1"/>
    <xf numFmtId="3" fontId="9" fillId="0" borderId="3" xfId="0" applyNumberFormat="1" applyFont="1" applyBorder="1"/>
    <xf numFmtId="3" fontId="6" fillId="0" borderId="0" xfId="0" applyNumberFormat="1" applyFont="1"/>
    <xf numFmtId="9" fontId="6" fillId="0" borderId="0" xfId="1" applyFont="1"/>
    <xf numFmtId="0" fontId="0" fillId="0" borderId="2" xfId="0" applyFill="1" applyBorder="1"/>
    <xf numFmtId="0" fontId="0" fillId="0" borderId="1" xfId="0" applyFill="1" applyBorder="1"/>
    <xf numFmtId="9" fontId="6" fillId="0" borderId="1" xfId="1" applyFont="1" applyBorder="1"/>
    <xf numFmtId="0" fontId="6" fillId="0" borderId="2" xfId="0" applyFont="1" applyFill="1" applyBorder="1"/>
    <xf numFmtId="164" fontId="6" fillId="0" borderId="0" xfId="0" applyNumberFormat="1" applyFont="1" applyBorder="1" applyAlignment="1">
      <alignment horizontal="right"/>
    </xf>
    <xf numFmtId="0" fontId="0" fillId="0" borderId="0" xfId="0" applyBorder="1" applyAlignment="1">
      <alignment horizontal="right"/>
    </xf>
    <xf numFmtId="0" fontId="3" fillId="2" borderId="0" xfId="0" applyFont="1" applyFill="1"/>
    <xf numFmtId="3" fontId="9" fillId="2" borderId="0" xfId="0" applyNumberFormat="1" applyFont="1" applyFill="1"/>
    <xf numFmtId="0" fontId="0" fillId="0" borderId="0" xfId="0" applyFill="1"/>
    <xf numFmtId="0" fontId="3" fillId="0" borderId="2" xfId="0" applyFont="1" applyBorder="1"/>
    <xf numFmtId="3" fontId="9" fillId="0" borderId="2" xfId="0" applyNumberFormat="1" applyFont="1" applyBorder="1"/>
    <xf numFmtId="3" fontId="9" fillId="0" borderId="1" xfId="0" applyNumberFormat="1" applyFont="1" applyBorder="1"/>
    <xf numFmtId="0" fontId="3" fillId="0" borderId="0" xfId="0" applyFont="1" applyFill="1"/>
    <xf numFmtId="0" fontId="9" fillId="3" borderId="1" xfId="0" applyFont="1" applyFill="1" applyBorder="1"/>
    <xf numFmtId="0" fontId="13" fillId="0" borderId="0" xfId="0" applyFont="1" applyFill="1"/>
    <xf numFmtId="0" fontId="9" fillId="3" borderId="0" xfId="0" applyFont="1" applyFill="1" applyBorder="1"/>
    <xf numFmtId="0" fontId="0" fillId="0" borderId="1" xfId="0" applyBorder="1" applyAlignment="1">
      <alignment horizontal="right"/>
    </xf>
    <xf numFmtId="0" fontId="0" fillId="0" borderId="0" xfId="0" applyNumberFormat="1" applyFill="1" applyAlignment="1">
      <alignment horizontal="right"/>
    </xf>
    <xf numFmtId="0" fontId="0" fillId="0" borderId="0" xfId="0" applyFill="1" applyAlignment="1">
      <alignment horizontal="right"/>
    </xf>
    <xf numFmtId="14" fontId="6" fillId="0" borderId="0" xfId="0" applyNumberFormat="1" applyFont="1" applyBorder="1" applyAlignment="1">
      <alignment horizontal="right"/>
    </xf>
    <xf numFmtId="2" fontId="5" fillId="0" borderId="0" xfId="0" applyNumberFormat="1" applyFont="1" applyBorder="1"/>
    <xf numFmtId="0" fontId="5" fillId="0" borderId="2" xfId="0" applyFont="1" applyBorder="1"/>
    <xf numFmtId="166" fontId="0" fillId="0" borderId="0" xfId="0" applyNumberFormat="1" applyBorder="1"/>
    <xf numFmtId="3" fontId="0" fillId="0" borderId="0" xfId="0" applyNumberFormat="1" applyBorder="1"/>
    <xf numFmtId="3" fontId="0" fillId="0" borderId="1" xfId="0" applyNumberFormat="1" applyBorder="1"/>
    <xf numFmtId="165" fontId="0" fillId="0" borderId="2" xfId="1" applyNumberFormat="1" applyFont="1" applyBorder="1"/>
    <xf numFmtId="165" fontId="0" fillId="0" borderId="0" xfId="1" applyNumberFormat="1" applyFont="1" applyBorder="1"/>
    <xf numFmtId="164" fontId="0" fillId="0" borderId="0" xfId="0" applyNumberFormat="1" applyBorder="1"/>
    <xf numFmtId="0" fontId="2" fillId="0" borderId="0" xfId="0" applyFont="1" applyBorder="1"/>
    <xf numFmtId="3" fontId="2" fillId="0" borderId="0" xfId="0" applyNumberFormat="1" applyFont="1" applyBorder="1"/>
    <xf numFmtId="0" fontId="2" fillId="0" borderId="1" xfId="0" applyFont="1" applyBorder="1"/>
    <xf numFmtId="3" fontId="2" fillId="0" borderId="1" xfId="0" applyNumberFormat="1" applyFont="1" applyBorder="1"/>
    <xf numFmtId="164" fontId="0" fillId="0" borderId="0" xfId="0" applyNumberFormat="1" applyBorder="1" applyAlignment="1">
      <alignment horizontal="right"/>
    </xf>
    <xf numFmtId="1" fontId="6" fillId="0" borderId="0" xfId="0" applyNumberFormat="1" applyFont="1" applyBorder="1" applyAlignment="1">
      <alignment horizontal="right"/>
    </xf>
    <xf numFmtId="1" fontId="6" fillId="0" borderId="1" xfId="0" applyNumberFormat="1" applyFont="1" applyBorder="1" applyAlignment="1">
      <alignment horizontal="right"/>
    </xf>
    <xf numFmtId="1" fontId="6" fillId="0" borderId="0" xfId="0" applyNumberFormat="1" applyFont="1" applyBorder="1"/>
    <xf numFmtId="1" fontId="6" fillId="0" borderId="1" xfId="0" applyNumberFormat="1" applyFont="1" applyBorder="1"/>
    <xf numFmtId="0" fontId="6" fillId="0" borderId="0" xfId="0" applyFont="1" applyFill="1" applyBorder="1" applyAlignment="1">
      <alignment horizontal="right"/>
    </xf>
    <xf numFmtId="0" fontId="6" fillId="0" borderId="0" xfId="0" applyFont="1" applyFill="1"/>
    <xf numFmtId="0" fontId="9" fillId="3" borderId="0" xfId="0" applyFont="1" applyFill="1" applyBorder="1" applyProtection="1">
      <protection locked="0"/>
    </xf>
    <xf numFmtId="0" fontId="5" fillId="0" borderId="0" xfId="0" applyFont="1" applyBorder="1" applyProtection="1">
      <protection locked="0"/>
    </xf>
    <xf numFmtId="2" fontId="5" fillId="0" borderId="0" xfId="0" applyNumberFormat="1" applyFont="1" applyBorder="1" applyProtection="1">
      <protection locked="0"/>
    </xf>
    <xf numFmtId="2" fontId="5" fillId="0" borderId="1" xfId="0" applyNumberFormat="1" applyFont="1" applyBorder="1" applyProtection="1">
      <protection locked="0"/>
    </xf>
    <xf numFmtId="1" fontId="5" fillId="0" borderId="0" xfId="0" applyNumberFormat="1" applyFont="1" applyBorder="1" applyAlignment="1" applyProtection="1">
      <alignment horizontal="right"/>
      <protection locked="0"/>
    </xf>
    <xf numFmtId="1" fontId="6" fillId="0" borderId="0" xfId="0" applyNumberFormat="1" applyFont="1"/>
    <xf numFmtId="0" fontId="0" fillId="0" borderId="2" xfId="0" applyFont="1" applyBorder="1"/>
    <xf numFmtId="0" fontId="0" fillId="0" borderId="0" xfId="0" applyFont="1" applyBorder="1"/>
    <xf numFmtId="0" fontId="10" fillId="0" borderId="0" xfId="0" applyFont="1" applyBorder="1" applyProtection="1">
      <protection locked="0"/>
    </xf>
    <xf numFmtId="0" fontId="6" fillId="0" borderId="1" xfId="0" applyFont="1" applyBorder="1" applyProtection="1">
      <protection locked="0"/>
    </xf>
    <xf numFmtId="0" fontId="6" fillId="0" borderId="2" xfId="0" applyFont="1" applyBorder="1" applyProtection="1">
      <protection locked="0"/>
    </xf>
    <xf numFmtId="0" fontId="11" fillId="0" borderId="0" xfId="0" applyFont="1" applyBorder="1"/>
    <xf numFmtId="3" fontId="6" fillId="0" borderId="0" xfId="0" applyNumberFormat="1" applyFont="1" applyFill="1" applyBorder="1"/>
    <xf numFmtId="0" fontId="9" fillId="3" borderId="0" xfId="0" applyFont="1" applyFill="1" applyBorder="1" applyAlignment="1">
      <alignment horizontal="center"/>
    </xf>
    <xf numFmtId="0" fontId="14" fillId="0" borderId="4" xfId="0" applyFont="1" applyBorder="1"/>
    <xf numFmtId="3" fontId="14" fillId="0" borderId="4" xfId="0" applyNumberFormat="1" applyFont="1" applyBorder="1"/>
    <xf numFmtId="0" fontId="0" fillId="0" borderId="5" xfId="0" applyBorder="1"/>
    <xf numFmtId="3" fontId="6" fillId="0" borderId="5" xfId="0" applyNumberFormat="1" applyFont="1" applyBorder="1"/>
    <xf numFmtId="14" fontId="5" fillId="0" borderId="2" xfId="0" applyNumberFormat="1" applyFont="1" applyBorder="1" applyAlignment="1" applyProtection="1">
      <alignment horizontal="right"/>
      <protection locked="0"/>
    </xf>
    <xf numFmtId="14" fontId="5" fillId="0" borderId="0" xfId="0" applyNumberFormat="1" applyFont="1" applyBorder="1" applyAlignment="1" applyProtection="1">
      <alignment horizontal="right"/>
      <protection locked="0"/>
    </xf>
    <xf numFmtId="0" fontId="0" fillId="0" borderId="0" xfId="0" applyBorder="1" applyProtection="1">
      <protection locked="0"/>
    </xf>
    <xf numFmtId="0" fontId="0" fillId="0" borderId="0" xfId="0" applyProtection="1">
      <protection locked="0"/>
    </xf>
    <xf numFmtId="0" fontId="5" fillId="0" borderId="2" xfId="0" applyFont="1" applyBorder="1" applyAlignment="1" applyProtection="1">
      <alignment horizontal="right"/>
      <protection locked="0"/>
    </xf>
    <xf numFmtId="0" fontId="5" fillId="0" borderId="0"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2" xfId="0" applyFont="1" applyFill="1" applyBorder="1" applyAlignment="1" applyProtection="1">
      <alignment horizontal="right"/>
      <protection locked="0"/>
    </xf>
    <xf numFmtId="0" fontId="5" fillId="0" borderId="0" xfId="0" applyFont="1" applyFill="1" applyBorder="1" applyAlignment="1" applyProtection="1">
      <alignment horizontal="right"/>
      <protection locked="0"/>
    </xf>
    <xf numFmtId="3" fontId="5" fillId="0" borderId="0" xfId="0" applyNumberFormat="1" applyFont="1" applyBorder="1" applyProtection="1">
      <protection locked="0"/>
    </xf>
    <xf numFmtId="9" fontId="5" fillId="0" borderId="0" xfId="1" applyFont="1" applyBorder="1" applyProtection="1">
      <protection locked="0"/>
    </xf>
    <xf numFmtId="3" fontId="5" fillId="0" borderId="0" xfId="0" applyNumberFormat="1" applyFont="1" applyProtection="1">
      <protection locked="0"/>
    </xf>
    <xf numFmtId="0" fontId="5" fillId="0" borderId="0" xfId="0" applyFont="1" applyFill="1" applyAlignment="1" applyProtection="1">
      <alignment horizontal="right"/>
      <protection locked="0"/>
    </xf>
    <xf numFmtId="9" fontId="5" fillId="0" borderId="0" xfId="1" applyFont="1" applyProtection="1">
      <protection locked="0"/>
    </xf>
    <xf numFmtId="0" fontId="2" fillId="0" borderId="0" xfId="0" applyFont="1" applyFill="1"/>
    <xf numFmtId="0" fontId="2" fillId="0" borderId="0" xfId="0" applyFont="1"/>
    <xf numFmtId="0" fontId="0" fillId="0" borderId="0" xfId="0" applyFill="1" applyProtection="1">
      <protection locked="0"/>
    </xf>
    <xf numFmtId="14" fontId="0" fillId="0" borderId="0" xfId="0" applyNumberFormat="1" applyAlignment="1">
      <alignment horizontal="right"/>
    </xf>
    <xf numFmtId="0" fontId="17" fillId="0" borderId="0" xfId="0" applyFont="1"/>
    <xf numFmtId="0" fontId="18" fillId="0" borderId="0" xfId="0" applyFont="1"/>
    <xf numFmtId="14" fontId="0" fillId="0" borderId="0" xfId="0" applyNumberFormat="1"/>
  </cellXfs>
  <cellStyles count="2">
    <cellStyle name="Normaali" xfId="0" builtinId="0"/>
    <cellStyle name="Prosenttia"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6350</xdr:colOff>
      <xdr:row>4</xdr:row>
      <xdr:rowOff>9526</xdr:rowOff>
    </xdr:from>
    <xdr:to>
      <xdr:col>10</xdr:col>
      <xdr:colOff>585787</xdr:colOff>
      <xdr:row>24</xdr:row>
      <xdr:rowOff>106680</xdr:rowOff>
    </xdr:to>
    <xdr:sp macro="" textlink="">
      <xdr:nvSpPr>
        <xdr:cNvPr id="2" name="Tekstiruutu 1">
          <a:extLst>
            <a:ext uri="{FF2B5EF4-FFF2-40B4-BE49-F238E27FC236}">
              <a16:creationId xmlns:a16="http://schemas.microsoft.com/office/drawing/2014/main" id="{1D29CA24-7C31-48E9-89B6-5BC025B06334}"/>
            </a:ext>
          </a:extLst>
        </xdr:cNvPr>
        <xdr:cNvSpPr txBox="1"/>
      </xdr:nvSpPr>
      <xdr:spPr>
        <a:xfrm>
          <a:off x="189230" y="794386"/>
          <a:ext cx="6210617" cy="375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a:solidFill>
                <a:schemeClr val="dk1"/>
              </a:solidFill>
              <a:effectLst/>
              <a:latin typeface="+mn-lt"/>
              <a:ea typeface="+mn-ea"/>
              <a:cs typeface="+mn-cs"/>
            </a:rPr>
            <a:t>Tuottava nautatilan nurmi-hankkeen pilotissa on luotu uusi laidunsatojen arviointityökalu.</a:t>
          </a:r>
          <a:r>
            <a:rPr lang="fi-FI" sz="1100" b="0" i="0">
              <a:solidFill>
                <a:schemeClr val="dk1"/>
              </a:solidFill>
              <a:effectLst/>
              <a:latin typeface="+mn-lt"/>
              <a:ea typeface="+mn-ea"/>
              <a:cs typeface="+mn-cs"/>
            </a:rPr>
            <a:t> Työkalu on luotu avuksi hahmottamaan laiduntavien eläinten rehuntarvetta ja tuottamaan satotietoja laidunten tuotantokustannuslaskentaan.</a:t>
          </a:r>
        </a:p>
        <a:p>
          <a:r>
            <a:rPr lang="fi-FI" sz="1100">
              <a:solidFill>
                <a:schemeClr val="tx1"/>
              </a:solidFill>
            </a:rPr>
            <a:t> </a:t>
          </a:r>
        </a:p>
        <a:p>
          <a:r>
            <a:rPr lang="fi-FI" sz="1100">
              <a:solidFill>
                <a:schemeClr val="tx1"/>
              </a:solidFill>
            </a:rPr>
            <a:t>Kun laidunten tuotantokustannusta lähdetään laskemaan auki, haasteeksi muodostuu yleensä laitumen satotason arviointi.  Harvempi on mitannut tai laskenut oman laidunnurmensa satotasoa ja usein laitumen satotasot perustuvatkin enemmin arvioon kuin varmaan tietoon. Tomi Karsikas Atrialta läksi ratkaisemaan ongelmaa kehittämällä yksinkertaisen Excel-laskurin emolehmien ja vasikoiden syömän rehumäärään arviointiin laidunkaudella. Laskurilla voidaan selvittää laidunkarjan energiantarve ja sitä kautta pystytään arvioimaan laitumen satotaso. Laskurissa on eroteltu kevät- ja syyspoikivat emot ja siihen merkitään laidunkauden aloitus- ja lopetuspäivämäärät sekä keskimääräiset poikimis- ja vieroituspäivämäärät. Myös eläinmäärät tulee erotella kappaleittain omille riveilleen: laiduntavat emolehmät, sonnivasikat, lehmävasikat, hiehot (yli 12kk) ja siitossonnit.</a:t>
          </a:r>
        </a:p>
        <a:p>
          <a:endParaRPr lang="fi-FI"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tx1"/>
              </a:solidFill>
              <a:effectLst/>
              <a:latin typeface="+mn-lt"/>
              <a:ea typeface="+mn-ea"/>
              <a:cs typeface="+mn-cs"/>
            </a:rPr>
            <a:t>Laskentapohjaa saa vapaasti käyttää.</a:t>
          </a:r>
          <a:r>
            <a:rPr lang="fi-FI" sz="1100" baseline="0">
              <a:solidFill>
                <a:schemeClr val="tx1"/>
              </a:solidFill>
              <a:effectLst/>
              <a:latin typeface="+mn-lt"/>
              <a:ea typeface="+mn-ea"/>
              <a:cs typeface="+mn-cs"/>
            </a:rPr>
            <a:t> </a:t>
          </a:r>
          <a:r>
            <a:rPr lang="fi-FI" sz="1100">
              <a:solidFill>
                <a:schemeClr val="tx1"/>
              </a:solidFill>
              <a:effectLst/>
              <a:latin typeface="+mn-lt"/>
              <a:ea typeface="+mn-ea"/>
              <a:cs typeface="+mn-cs"/>
            </a:rPr>
            <a:t>Laskelman solut, joissa</a:t>
          </a:r>
          <a:r>
            <a:rPr lang="fi-FI" sz="1100" baseline="0">
              <a:solidFill>
                <a:schemeClr val="tx1"/>
              </a:solidFill>
              <a:effectLst/>
              <a:latin typeface="+mn-lt"/>
              <a:ea typeface="+mn-ea"/>
              <a:cs typeface="+mn-cs"/>
            </a:rPr>
            <a:t> on kaavoja, on suojattu, ettei vahingossa poistaisi taulukon kaavoja. </a:t>
          </a:r>
          <a:r>
            <a:rPr lang="fi-FI" sz="1100">
              <a:solidFill>
                <a:schemeClr val="tx1"/>
              </a:solidFill>
            </a:rPr>
            <a:t>Syötä oman tilan tiedot sinisellä fontilla oleviin soluihin. Joissakin laskelman soluissa on yksityiskohtaisempia ohjeita, jotka saa näkyviin viemällä hiiren solun päälle, jossa on punainen kolmio solun oikeassa yläkulmassa</a:t>
          </a:r>
        </a:p>
        <a:p>
          <a:endParaRPr lang="fi-FI" sz="1100"/>
        </a:p>
      </xdr:txBody>
    </xdr:sp>
    <xdr:clientData/>
  </xdr:twoCellAnchor>
  <xdr:twoCellAnchor editAs="oneCell">
    <xdr:from>
      <xdr:col>8</xdr:col>
      <xdr:colOff>44450</xdr:colOff>
      <xdr:row>25</xdr:row>
      <xdr:rowOff>153281</xdr:rowOff>
    </xdr:from>
    <xdr:to>
      <xdr:col>10</xdr:col>
      <xdr:colOff>530225</xdr:colOff>
      <xdr:row>28</xdr:row>
      <xdr:rowOff>53745</xdr:rowOff>
    </xdr:to>
    <xdr:pic>
      <xdr:nvPicPr>
        <xdr:cNvPr id="3" name="Kuva 2">
          <a:extLst>
            <a:ext uri="{FF2B5EF4-FFF2-40B4-BE49-F238E27FC236}">
              <a16:creationId xmlns:a16="http://schemas.microsoft.com/office/drawing/2014/main" id="{C19245B5-B261-4940-B336-929FEE069C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9310" y="9167741"/>
          <a:ext cx="1704975" cy="449104"/>
        </a:xfrm>
        <a:prstGeom prst="rect">
          <a:avLst/>
        </a:prstGeom>
      </xdr:spPr>
    </xdr:pic>
    <xdr:clientData/>
  </xdr:twoCellAnchor>
  <xdr:twoCellAnchor editAs="oneCell">
    <xdr:from>
      <xdr:col>1</xdr:col>
      <xdr:colOff>121920</xdr:colOff>
      <xdr:row>25</xdr:row>
      <xdr:rowOff>154940</xdr:rowOff>
    </xdr:from>
    <xdr:to>
      <xdr:col>4</xdr:col>
      <xdr:colOff>510540</xdr:colOff>
      <xdr:row>27</xdr:row>
      <xdr:rowOff>156718</xdr:rowOff>
    </xdr:to>
    <xdr:pic>
      <xdr:nvPicPr>
        <xdr:cNvPr id="5" name="Kuva 4">
          <a:extLst>
            <a:ext uri="{FF2B5EF4-FFF2-40B4-BE49-F238E27FC236}">
              <a16:creationId xmlns:a16="http://schemas.microsoft.com/office/drawing/2014/main" id="{B1749C26-7318-41A6-A28B-C84560CD02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 y="4963160"/>
          <a:ext cx="2362200" cy="367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82550</xdr:rowOff>
    </xdr:from>
    <xdr:to>
      <xdr:col>1</xdr:col>
      <xdr:colOff>1764242</xdr:colOff>
      <xdr:row>2</xdr:row>
      <xdr:rowOff>169281</xdr:rowOff>
    </xdr:to>
    <xdr:pic>
      <xdr:nvPicPr>
        <xdr:cNvPr id="2" name="Kuva 1">
          <a:extLst>
            <a:ext uri="{FF2B5EF4-FFF2-40B4-BE49-F238E27FC236}">
              <a16:creationId xmlns:a16="http://schemas.microsoft.com/office/drawing/2014/main" id="{3ADECC7F-646E-47FD-B4D2-2D688F483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82550"/>
          <a:ext cx="1713442" cy="455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0</xdr:row>
      <xdr:rowOff>82550</xdr:rowOff>
    </xdr:from>
    <xdr:to>
      <xdr:col>1</xdr:col>
      <xdr:colOff>1764242</xdr:colOff>
      <xdr:row>2</xdr:row>
      <xdr:rowOff>169281</xdr:rowOff>
    </xdr:to>
    <xdr:pic>
      <xdr:nvPicPr>
        <xdr:cNvPr id="2" name="Kuva 1">
          <a:extLst>
            <a:ext uri="{FF2B5EF4-FFF2-40B4-BE49-F238E27FC236}">
              <a16:creationId xmlns:a16="http://schemas.microsoft.com/office/drawing/2014/main" id="{F6976A71-C95D-4DCF-A024-F46E528A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82550"/>
          <a:ext cx="1713442" cy="4524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387350</xdr:colOff>
      <xdr:row>14</xdr:row>
      <xdr:rowOff>38100</xdr:rowOff>
    </xdr:from>
    <xdr:to>
      <xdr:col>12</xdr:col>
      <xdr:colOff>55443</xdr:colOff>
      <xdr:row>26</xdr:row>
      <xdr:rowOff>87887</xdr:rowOff>
    </xdr:to>
    <xdr:pic>
      <xdr:nvPicPr>
        <xdr:cNvPr id="2" name="Kuva 1">
          <a:extLst>
            <a:ext uri="{FF2B5EF4-FFF2-40B4-BE49-F238E27FC236}">
              <a16:creationId xmlns:a16="http://schemas.microsoft.com/office/drawing/2014/main" id="{7DDB99E2-F818-453F-8BD3-74F9AACD19F6}"/>
            </a:ext>
          </a:extLst>
        </xdr:cNvPr>
        <xdr:cNvPicPr>
          <a:picLocks noChangeAspect="1"/>
        </xdr:cNvPicPr>
      </xdr:nvPicPr>
      <xdr:blipFill>
        <a:blip xmlns:r="http://schemas.openxmlformats.org/officeDocument/2006/relationships" r:embed="rId1"/>
        <a:stretch>
          <a:fillRect/>
        </a:stretch>
      </xdr:blipFill>
      <xdr:spPr>
        <a:xfrm>
          <a:off x="387350" y="3695700"/>
          <a:ext cx="6983293" cy="2244347"/>
        </a:xfrm>
        <a:prstGeom prst="rect">
          <a:avLst/>
        </a:prstGeom>
      </xdr:spPr>
    </xdr:pic>
    <xdr:clientData/>
  </xdr:twoCellAnchor>
  <xdr:twoCellAnchor editAs="oneCell">
    <xdr:from>
      <xdr:col>0</xdr:col>
      <xdr:colOff>377190</xdr:colOff>
      <xdr:row>28</xdr:row>
      <xdr:rowOff>3810</xdr:rowOff>
    </xdr:from>
    <xdr:to>
      <xdr:col>12</xdr:col>
      <xdr:colOff>477107</xdr:colOff>
      <xdr:row>36</xdr:row>
      <xdr:rowOff>92073</xdr:rowOff>
    </xdr:to>
    <xdr:pic>
      <xdr:nvPicPr>
        <xdr:cNvPr id="5" name="Kuva 4">
          <a:extLst>
            <a:ext uri="{FF2B5EF4-FFF2-40B4-BE49-F238E27FC236}">
              <a16:creationId xmlns:a16="http://schemas.microsoft.com/office/drawing/2014/main" id="{39D0EE48-DD42-490C-849D-245D335CD430}"/>
            </a:ext>
          </a:extLst>
        </xdr:cNvPr>
        <xdr:cNvPicPr>
          <a:picLocks noChangeAspect="1"/>
        </xdr:cNvPicPr>
      </xdr:nvPicPr>
      <xdr:blipFill>
        <a:blip xmlns:r="http://schemas.openxmlformats.org/officeDocument/2006/relationships" r:embed="rId2"/>
        <a:stretch>
          <a:fillRect/>
        </a:stretch>
      </xdr:blipFill>
      <xdr:spPr>
        <a:xfrm>
          <a:off x="377190" y="5124450"/>
          <a:ext cx="7415117" cy="1551303"/>
        </a:xfrm>
        <a:prstGeom prst="rect">
          <a:avLst/>
        </a:prstGeom>
      </xdr:spPr>
    </xdr:pic>
    <xdr:clientData/>
  </xdr:twoCellAnchor>
  <xdr:twoCellAnchor editAs="oneCell">
    <xdr:from>
      <xdr:col>0</xdr:col>
      <xdr:colOff>426720</xdr:colOff>
      <xdr:row>2</xdr:row>
      <xdr:rowOff>30480</xdr:rowOff>
    </xdr:from>
    <xdr:to>
      <xdr:col>10</xdr:col>
      <xdr:colOff>57038</xdr:colOff>
      <xdr:row>13</xdr:row>
      <xdr:rowOff>104138</xdr:rowOff>
    </xdr:to>
    <xdr:pic>
      <xdr:nvPicPr>
        <xdr:cNvPr id="4" name="Kuva 3">
          <a:extLst>
            <a:ext uri="{FF2B5EF4-FFF2-40B4-BE49-F238E27FC236}">
              <a16:creationId xmlns:a16="http://schemas.microsoft.com/office/drawing/2014/main" id="{A3C93A28-C779-4B67-B955-CE11F26A5203}"/>
            </a:ext>
          </a:extLst>
        </xdr:cNvPr>
        <xdr:cNvPicPr>
          <a:picLocks noChangeAspect="1"/>
        </xdr:cNvPicPr>
      </xdr:nvPicPr>
      <xdr:blipFill>
        <a:blip xmlns:r="http://schemas.openxmlformats.org/officeDocument/2006/relationships" r:embed="rId3"/>
        <a:stretch>
          <a:fillRect/>
        </a:stretch>
      </xdr:blipFill>
      <xdr:spPr>
        <a:xfrm>
          <a:off x="426720" y="396240"/>
          <a:ext cx="5726318" cy="2085338"/>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0EA6-1445-48A4-A0A0-DD0491A4BEE3}">
  <dimension ref="B2:K34"/>
  <sheetViews>
    <sheetView zoomScale="120" zoomScaleNormal="120" workbookViewId="0">
      <selection activeCell="I39" sqref="I39"/>
    </sheetView>
  </sheetViews>
  <sheetFormatPr defaultRowHeight="14.4" x14ac:dyDescent="0.3"/>
  <cols>
    <col min="1" max="1" width="2.6640625" customWidth="1"/>
    <col min="2" max="2" width="11" customWidth="1"/>
    <col min="12" max="12" width="2.6640625" customWidth="1"/>
  </cols>
  <sheetData>
    <row r="2" spans="2:10" x14ac:dyDescent="0.3">
      <c r="I2" s="121">
        <v>44470</v>
      </c>
      <c r="J2" s="121"/>
    </row>
    <row r="3" spans="2:10" ht="18" x14ac:dyDescent="0.35">
      <c r="B3" s="122" t="s">
        <v>198</v>
      </c>
    </row>
    <row r="4" spans="2:10" ht="15" customHeight="1" x14ac:dyDescent="0.3"/>
    <row r="15" spans="2:10" x14ac:dyDescent="0.3">
      <c r="B15" s="123"/>
    </row>
    <row r="32" spans="2:11" x14ac:dyDescent="0.3">
      <c r="B32" s="33" t="s">
        <v>196</v>
      </c>
      <c r="C32" s="33"/>
      <c r="D32" s="33" t="s">
        <v>197</v>
      </c>
      <c r="E32" s="33"/>
      <c r="F32" s="33"/>
      <c r="G32" s="33"/>
      <c r="H32" s="33"/>
      <c r="I32" s="33"/>
      <c r="J32" s="33"/>
      <c r="K32" s="33"/>
    </row>
    <row r="33" spans="2:4" x14ac:dyDescent="0.3">
      <c r="B33" s="124">
        <v>44180</v>
      </c>
      <c r="D33" t="s">
        <v>199</v>
      </c>
    </row>
    <row r="34" spans="2:4" x14ac:dyDescent="0.3">
      <c r="B34" s="124">
        <v>44470</v>
      </c>
      <c r="D34" t="s">
        <v>200</v>
      </c>
    </row>
  </sheetData>
  <mergeCells count="1">
    <mergeCell ref="I2:J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92"/>
  <sheetViews>
    <sheetView tabSelected="1" zoomScale="120" zoomScaleNormal="120" workbookViewId="0">
      <selection activeCell="K23" sqref="K23"/>
    </sheetView>
  </sheetViews>
  <sheetFormatPr defaultRowHeight="14.4" x14ac:dyDescent="0.3"/>
  <cols>
    <col min="1" max="1" width="2.77734375" style="36" customWidth="1"/>
    <col min="2" max="2" width="47.88671875" customWidth="1"/>
    <col min="4" max="4" width="12.44140625" bestFit="1" customWidth="1"/>
    <col min="5" max="5" width="5.5546875" customWidth="1"/>
    <col min="6" max="6" width="12.44140625" bestFit="1" customWidth="1"/>
    <col min="7" max="7" width="2.6640625" style="36" customWidth="1"/>
    <col min="11" max="11" width="10.77734375" bestFit="1" customWidth="1"/>
  </cols>
  <sheetData>
    <row r="4" spans="2:13" x14ac:dyDescent="0.3">
      <c r="I4" s="119"/>
      <c r="J4" s="119"/>
      <c r="K4" s="119"/>
      <c r="L4" s="119"/>
      <c r="M4" s="119"/>
    </row>
    <row r="5" spans="2:13" ht="21" x14ac:dyDescent="0.4">
      <c r="B5" s="4" t="s">
        <v>32</v>
      </c>
      <c r="I5" s="61" t="s">
        <v>60</v>
      </c>
      <c r="J5" s="61">
        <v>1</v>
      </c>
      <c r="K5" s="61">
        <f>VLOOKUP(D25,I5:J7,2,0)</f>
        <v>3</v>
      </c>
      <c r="L5" s="61">
        <f>VLOOKUP(F25,I5:J7,2,0)</f>
        <v>3</v>
      </c>
      <c r="M5" s="119"/>
    </row>
    <row r="6" spans="2:13" x14ac:dyDescent="0.3">
      <c r="B6" s="5" t="s">
        <v>169</v>
      </c>
      <c r="I6" s="61" t="s">
        <v>61</v>
      </c>
      <c r="J6" s="61">
        <v>2</v>
      </c>
      <c r="K6" s="61">
        <f>VLOOKUP(D26,I5:J7,2,0)</f>
        <v>2</v>
      </c>
      <c r="L6" s="61">
        <f>VLOOKUP(F26,I5:J7,2,0)</f>
        <v>2</v>
      </c>
      <c r="M6" s="119"/>
    </row>
    <row r="7" spans="2:13" x14ac:dyDescent="0.3">
      <c r="I7" s="61" t="s">
        <v>62</v>
      </c>
      <c r="J7" s="61">
        <v>3</v>
      </c>
      <c r="K7" s="61"/>
      <c r="L7" s="61"/>
      <c r="M7" s="119"/>
    </row>
    <row r="8" spans="2:13" x14ac:dyDescent="0.3">
      <c r="B8" s="62" t="s">
        <v>187</v>
      </c>
      <c r="C8" s="62"/>
      <c r="D8" s="99" t="s">
        <v>162</v>
      </c>
      <c r="E8" s="99"/>
      <c r="F8" s="99" t="s">
        <v>163</v>
      </c>
      <c r="I8" t="s">
        <v>160</v>
      </c>
    </row>
    <row r="9" spans="2:13" x14ac:dyDescent="0.3">
      <c r="B9" s="34" t="s">
        <v>35</v>
      </c>
      <c r="C9" s="34" t="s">
        <v>39</v>
      </c>
      <c r="D9" s="104">
        <v>44348</v>
      </c>
      <c r="E9" s="104"/>
      <c r="F9" s="104">
        <v>44348</v>
      </c>
      <c r="J9" t="s">
        <v>193</v>
      </c>
      <c r="K9" t="s">
        <v>193</v>
      </c>
    </row>
    <row r="10" spans="2:13" x14ac:dyDescent="0.3">
      <c r="B10" s="36" t="s">
        <v>36</v>
      </c>
      <c r="C10" s="36" t="s">
        <v>39</v>
      </c>
      <c r="D10" s="105">
        <v>44481</v>
      </c>
      <c r="E10" s="105"/>
      <c r="F10" s="105">
        <v>44481</v>
      </c>
      <c r="I10" s="1" t="s">
        <v>161</v>
      </c>
      <c r="J10" s="1" t="s">
        <v>194</v>
      </c>
      <c r="K10" s="1" t="s">
        <v>195</v>
      </c>
    </row>
    <row r="11" spans="2:13" x14ac:dyDescent="0.3">
      <c r="B11" s="36" t="s">
        <v>37</v>
      </c>
      <c r="C11" s="36" t="s">
        <v>2</v>
      </c>
      <c r="D11" s="52">
        <f>D10-D9</f>
        <v>133</v>
      </c>
      <c r="E11" s="52"/>
      <c r="F11" s="52">
        <f>F10-F9</f>
        <v>133</v>
      </c>
      <c r="I11" t="s">
        <v>10</v>
      </c>
      <c r="J11">
        <v>685</v>
      </c>
      <c r="K11">
        <v>9</v>
      </c>
    </row>
    <row r="12" spans="2:13" x14ac:dyDescent="0.3">
      <c r="B12" s="36" t="s">
        <v>33</v>
      </c>
      <c r="C12" s="36" t="s">
        <v>39</v>
      </c>
      <c r="D12" s="105">
        <v>44291</v>
      </c>
      <c r="E12" s="105"/>
      <c r="F12" s="105">
        <v>44440</v>
      </c>
      <c r="G12" s="106"/>
      <c r="H12" s="107"/>
      <c r="I12" t="s">
        <v>11</v>
      </c>
      <c r="J12">
        <v>690</v>
      </c>
      <c r="K12">
        <v>8</v>
      </c>
    </row>
    <row r="13" spans="2:13" x14ac:dyDescent="0.3">
      <c r="B13" s="36" t="s">
        <v>34</v>
      </c>
      <c r="C13" s="36" t="s">
        <v>39</v>
      </c>
      <c r="D13" s="105">
        <v>44481</v>
      </c>
      <c r="E13" s="105"/>
      <c r="F13" s="105">
        <v>44621</v>
      </c>
      <c r="G13" s="106"/>
      <c r="H13" s="107"/>
      <c r="I13" t="s">
        <v>12</v>
      </c>
      <c r="J13">
        <v>715</v>
      </c>
      <c r="K13">
        <v>6</v>
      </c>
    </row>
    <row r="14" spans="2:13" x14ac:dyDescent="0.3">
      <c r="B14" s="39" t="s">
        <v>176</v>
      </c>
      <c r="C14" s="39" t="s">
        <v>2</v>
      </c>
      <c r="D14" s="52">
        <f>Taustalaskenta!D105</f>
        <v>133</v>
      </c>
      <c r="E14" s="52"/>
      <c r="F14" s="52">
        <f>Taustalaskenta!F105</f>
        <v>41</v>
      </c>
      <c r="I14" t="s">
        <v>13</v>
      </c>
      <c r="J14">
        <v>705</v>
      </c>
      <c r="K14">
        <v>6</v>
      </c>
    </row>
    <row r="15" spans="2:13" x14ac:dyDescent="0.3">
      <c r="B15" s="1" t="s">
        <v>38</v>
      </c>
      <c r="C15" s="1" t="s">
        <v>2</v>
      </c>
      <c r="D15" s="63">
        <f>D13-D12</f>
        <v>190</v>
      </c>
      <c r="E15" s="63"/>
      <c r="F15" s="63">
        <f>F13-F12</f>
        <v>181</v>
      </c>
      <c r="I15" t="s">
        <v>14</v>
      </c>
      <c r="J15">
        <v>690</v>
      </c>
      <c r="K15">
        <v>12</v>
      </c>
    </row>
    <row r="16" spans="2:13" x14ac:dyDescent="0.3">
      <c r="I16" s="1" t="s">
        <v>15</v>
      </c>
      <c r="J16" s="1">
        <v>740</v>
      </c>
      <c r="K16" s="1">
        <v>8</v>
      </c>
    </row>
    <row r="17" spans="2:8" x14ac:dyDescent="0.3">
      <c r="B17" s="62" t="s">
        <v>171</v>
      </c>
      <c r="C17" s="62"/>
      <c r="D17" s="99" t="s">
        <v>162</v>
      </c>
      <c r="E17" s="99"/>
      <c r="F17" s="99" t="s">
        <v>163</v>
      </c>
    </row>
    <row r="18" spans="2:8" x14ac:dyDescent="0.3">
      <c r="B18" s="34" t="s">
        <v>48</v>
      </c>
      <c r="C18" s="34" t="s">
        <v>58</v>
      </c>
      <c r="D18" s="108">
        <v>60</v>
      </c>
      <c r="E18" s="108"/>
      <c r="F18" s="108">
        <v>60</v>
      </c>
      <c r="G18" s="106"/>
      <c r="H18" s="107"/>
    </row>
    <row r="19" spans="2:8" x14ac:dyDescent="0.3">
      <c r="B19" s="36" t="s">
        <v>53</v>
      </c>
      <c r="C19" s="36" t="s">
        <v>58</v>
      </c>
      <c r="D19" s="109">
        <f>MROUND(D18/2,1)</f>
        <v>30</v>
      </c>
      <c r="E19" s="109"/>
      <c r="F19" s="109">
        <f t="shared" ref="F19" si="0">MROUND(F18/2,1)</f>
        <v>30</v>
      </c>
      <c r="G19" s="106"/>
      <c r="H19" s="107"/>
    </row>
    <row r="20" spans="2:8" x14ac:dyDescent="0.3">
      <c r="B20" s="36" t="s">
        <v>49</v>
      </c>
      <c r="C20" s="36" t="s">
        <v>58</v>
      </c>
      <c r="D20" s="109">
        <f>D18-D19</f>
        <v>30</v>
      </c>
      <c r="E20" s="109"/>
      <c r="F20" s="109">
        <f>F18-F19</f>
        <v>30</v>
      </c>
      <c r="G20" s="106"/>
      <c r="H20" s="107"/>
    </row>
    <row r="21" spans="2:8" x14ac:dyDescent="0.3">
      <c r="B21" s="36" t="s">
        <v>52</v>
      </c>
      <c r="C21" s="36" t="s">
        <v>58</v>
      </c>
      <c r="D21" s="109">
        <f>MROUND(D18*0.15,1)</f>
        <v>9</v>
      </c>
      <c r="E21" s="109"/>
      <c r="F21" s="109">
        <f t="shared" ref="F21" si="1">MROUND(F18*0.15,1)</f>
        <v>9</v>
      </c>
      <c r="G21" s="106"/>
      <c r="H21" s="107"/>
    </row>
    <row r="22" spans="2:8" x14ac:dyDescent="0.3">
      <c r="B22" s="1" t="s">
        <v>54</v>
      </c>
      <c r="C22" s="1" t="s">
        <v>58</v>
      </c>
      <c r="D22" s="110">
        <f>CEILING(D18/25,1)</f>
        <v>3</v>
      </c>
      <c r="E22" s="110"/>
      <c r="F22" s="110">
        <f t="shared" ref="F22" si="2">CEILING(F18/25,1)</f>
        <v>3</v>
      </c>
      <c r="G22" s="106"/>
      <c r="H22" s="107"/>
    </row>
    <row r="23" spans="2:8" x14ac:dyDescent="0.3">
      <c r="D23" s="6"/>
      <c r="E23" s="6"/>
      <c r="F23" s="6"/>
    </row>
    <row r="24" spans="2:8" x14ac:dyDescent="0.3">
      <c r="B24" s="62" t="s">
        <v>188</v>
      </c>
      <c r="C24" s="62"/>
      <c r="D24" s="99" t="s">
        <v>162</v>
      </c>
      <c r="E24" s="99"/>
      <c r="F24" s="99" t="s">
        <v>163</v>
      </c>
    </row>
    <row r="25" spans="2:8" x14ac:dyDescent="0.3">
      <c r="B25" s="50" t="s">
        <v>164</v>
      </c>
      <c r="C25" s="50"/>
      <c r="D25" s="111" t="s">
        <v>62</v>
      </c>
      <c r="E25" s="111"/>
      <c r="F25" s="111" t="s">
        <v>62</v>
      </c>
      <c r="G25" s="106"/>
      <c r="H25" s="107"/>
    </row>
    <row r="26" spans="2:8" x14ac:dyDescent="0.3">
      <c r="B26" s="9" t="s">
        <v>165</v>
      </c>
      <c r="C26" s="9"/>
      <c r="D26" s="112" t="s">
        <v>61</v>
      </c>
      <c r="E26" s="112"/>
      <c r="F26" s="112" t="s">
        <v>61</v>
      </c>
      <c r="G26" s="106"/>
      <c r="H26" s="107"/>
    </row>
    <row r="27" spans="2:8" x14ac:dyDescent="0.3">
      <c r="B27" s="36" t="s">
        <v>55</v>
      </c>
      <c r="C27" s="36" t="s">
        <v>0</v>
      </c>
      <c r="D27" s="112">
        <v>685</v>
      </c>
      <c r="E27" s="112"/>
      <c r="F27" s="112">
        <v>690</v>
      </c>
      <c r="G27" s="106"/>
      <c r="H27" s="120"/>
    </row>
    <row r="28" spans="2:8" x14ac:dyDescent="0.3">
      <c r="B28" s="36" t="s">
        <v>56</v>
      </c>
      <c r="C28" s="36" t="s">
        <v>4</v>
      </c>
      <c r="D28" s="112">
        <v>9</v>
      </c>
      <c r="E28" s="112"/>
      <c r="F28" s="112">
        <v>9</v>
      </c>
      <c r="G28" s="106"/>
      <c r="H28" s="120"/>
    </row>
    <row r="29" spans="2:8" x14ac:dyDescent="0.3">
      <c r="B29" s="36" t="s">
        <v>50</v>
      </c>
      <c r="C29" s="36" t="s">
        <v>57</v>
      </c>
      <c r="D29" s="109">
        <v>1250</v>
      </c>
      <c r="E29" s="109"/>
      <c r="F29" s="109">
        <v>1250</v>
      </c>
      <c r="G29" s="106"/>
      <c r="H29" s="107"/>
    </row>
    <row r="30" spans="2:8" x14ac:dyDescent="0.3">
      <c r="B30" s="36" t="s">
        <v>51</v>
      </c>
      <c r="C30" s="36" t="s">
        <v>57</v>
      </c>
      <c r="D30" s="109">
        <v>1050</v>
      </c>
      <c r="E30" s="109"/>
      <c r="F30" s="109">
        <v>1050</v>
      </c>
      <c r="G30" s="106"/>
      <c r="H30" s="107"/>
    </row>
    <row r="31" spans="2:8" x14ac:dyDescent="0.3">
      <c r="B31" s="36" t="s">
        <v>38</v>
      </c>
      <c r="C31" s="36" t="s">
        <v>5</v>
      </c>
      <c r="D31" s="79">
        <f>D15/30.4</f>
        <v>6.25</v>
      </c>
      <c r="E31" s="52"/>
      <c r="F31" s="79">
        <f>F15/30.4</f>
        <v>5.9539473684210531</v>
      </c>
    </row>
    <row r="32" spans="2:8" x14ac:dyDescent="0.3">
      <c r="B32" s="36" t="s">
        <v>59</v>
      </c>
      <c r="C32" s="36" t="s">
        <v>0</v>
      </c>
      <c r="D32" s="80">
        <f>D29/1000*D15+Taustalaskenta!D173</f>
        <v>281.5</v>
      </c>
      <c r="E32" s="80"/>
      <c r="F32" s="80">
        <f>F29/1000*F15+Taustalaskenta!F173</f>
        <v>270.25</v>
      </c>
    </row>
    <row r="33" spans="2:6" x14ac:dyDescent="0.3">
      <c r="B33" s="1" t="s">
        <v>89</v>
      </c>
      <c r="C33" s="1" t="s">
        <v>0</v>
      </c>
      <c r="D33" s="81">
        <f>D30/1000*D15+Taustalaskenta!D174</f>
        <v>240.5</v>
      </c>
      <c r="E33" s="81"/>
      <c r="F33" s="81">
        <f>F30/1000*F15+Taustalaskenta!F174</f>
        <v>231.05</v>
      </c>
    </row>
    <row r="34" spans="2:6" x14ac:dyDescent="0.3">
      <c r="D34" s="5"/>
      <c r="E34" s="5"/>
      <c r="F34" s="5"/>
    </row>
    <row r="35" spans="2:6" x14ac:dyDescent="0.3">
      <c r="B35" s="62" t="s">
        <v>154</v>
      </c>
      <c r="C35" s="62"/>
      <c r="D35" s="99" t="s">
        <v>162</v>
      </c>
      <c r="E35" s="99"/>
      <c r="F35" s="99" t="s">
        <v>163</v>
      </c>
    </row>
    <row r="36" spans="2:6" x14ac:dyDescent="0.3">
      <c r="B36" s="34" t="s">
        <v>128</v>
      </c>
      <c r="C36" s="34" t="s">
        <v>31</v>
      </c>
      <c r="D36" s="41">
        <f>Taustalaskenta!D120</f>
        <v>115.33601397485337</v>
      </c>
      <c r="E36" s="35"/>
      <c r="F36" s="41">
        <f>Taustalaskenta!F120</f>
        <v>95.751394807527319</v>
      </c>
    </row>
    <row r="37" spans="2:6" x14ac:dyDescent="0.3">
      <c r="B37" s="36" t="s">
        <v>129</v>
      </c>
      <c r="C37" s="36" t="s">
        <v>31</v>
      </c>
      <c r="D37" s="82">
        <f>Taustalaskenta!D226</f>
        <v>60.675863202580167</v>
      </c>
      <c r="E37" s="37"/>
      <c r="F37" s="82">
        <f>Taustalaskenta!F226</f>
        <v>34.030291513956129</v>
      </c>
    </row>
    <row r="38" spans="2:6" x14ac:dyDescent="0.3">
      <c r="B38" s="36" t="s">
        <v>130</v>
      </c>
      <c r="C38" s="36" t="s">
        <v>31</v>
      </c>
      <c r="D38" s="82">
        <f>Taustalaskenta!D239</f>
        <v>51.400171770608623</v>
      </c>
      <c r="E38" s="37"/>
      <c r="F38" s="82">
        <f>Taustalaskenta!F239</f>
        <v>31.376596701972797</v>
      </c>
    </row>
    <row r="39" spans="2:6" x14ac:dyDescent="0.3">
      <c r="B39" s="36" t="s">
        <v>105</v>
      </c>
      <c r="C39" s="36" t="s">
        <v>31</v>
      </c>
      <c r="D39" s="82">
        <f>Taustalaskenta!D196</f>
        <v>74.963297401633184</v>
      </c>
      <c r="E39" s="37"/>
      <c r="F39" s="82">
        <f>Taustalaskenta!F196</f>
        <v>62.270021951352959</v>
      </c>
    </row>
    <row r="40" spans="2:6" x14ac:dyDescent="0.3">
      <c r="B40" s="1" t="s">
        <v>121</v>
      </c>
      <c r="C40" s="1" t="s">
        <v>31</v>
      </c>
      <c r="D40" s="83">
        <f>Taustalaskenta!D209</f>
        <v>96.430685520553141</v>
      </c>
      <c r="E40" s="38"/>
      <c r="F40" s="83">
        <f>Taustalaskenta!F209</f>
        <v>96.430685520553141</v>
      </c>
    </row>
    <row r="42" spans="2:6" x14ac:dyDescent="0.3">
      <c r="B42" s="62" t="s">
        <v>153</v>
      </c>
      <c r="C42" s="62"/>
      <c r="D42" s="99" t="s">
        <v>162</v>
      </c>
      <c r="E42" s="99"/>
      <c r="F42" s="99" t="s">
        <v>163</v>
      </c>
    </row>
    <row r="43" spans="2:6" x14ac:dyDescent="0.3">
      <c r="B43" s="34" t="s">
        <v>128</v>
      </c>
      <c r="C43" s="34" t="s">
        <v>3</v>
      </c>
      <c r="D43" s="41">
        <f>D18*D36*D$11</f>
        <v>920381.39151932998</v>
      </c>
      <c r="E43" s="41"/>
      <c r="F43" s="41">
        <f>F18*F36*F$11</f>
        <v>764096.13056406798</v>
      </c>
    </row>
    <row r="44" spans="2:6" x14ac:dyDescent="0.3">
      <c r="B44" s="39" t="s">
        <v>129</v>
      </c>
      <c r="C44" s="39" t="s">
        <v>3</v>
      </c>
      <c r="D44" s="98">
        <f>D19*D37*D$11</f>
        <v>242096.69417829486</v>
      </c>
      <c r="E44" s="98"/>
      <c r="F44" s="98">
        <f>F19*F37*F$11</f>
        <v>135780.86314068496</v>
      </c>
    </row>
    <row r="45" spans="2:6" x14ac:dyDescent="0.3">
      <c r="B45" s="39" t="s">
        <v>130</v>
      </c>
      <c r="C45" s="39" t="s">
        <v>3</v>
      </c>
      <c r="D45" s="98">
        <f>D20*D38*D$11</f>
        <v>205086.68536472842</v>
      </c>
      <c r="E45" s="98"/>
      <c r="F45" s="98">
        <f>F20*F38*F$11</f>
        <v>125192.62084087146</v>
      </c>
    </row>
    <row r="46" spans="2:6" x14ac:dyDescent="0.3">
      <c r="B46" s="36" t="s">
        <v>105</v>
      </c>
      <c r="C46" s="36" t="s">
        <v>3</v>
      </c>
      <c r="D46" s="42">
        <f>D21*D39*D$11</f>
        <v>89731.066989754923</v>
      </c>
      <c r="E46" s="42"/>
      <c r="F46" s="42">
        <f>F21*F39*F$11</f>
        <v>74537.21627576949</v>
      </c>
    </row>
    <row r="47" spans="2:6" x14ac:dyDescent="0.3">
      <c r="B47" s="1" t="s">
        <v>121</v>
      </c>
      <c r="C47" s="1" t="s">
        <v>3</v>
      </c>
      <c r="D47" s="43">
        <f>D22*D40*D$11</f>
        <v>38475.843522700707</v>
      </c>
      <c r="E47" s="43"/>
      <c r="F47" s="43">
        <f>F22*F40*F$11</f>
        <v>38475.843522700707</v>
      </c>
    </row>
    <row r="48" spans="2:6" x14ac:dyDescent="0.3">
      <c r="B48" s="40" t="s">
        <v>131</v>
      </c>
      <c r="C48" s="40" t="s">
        <v>3</v>
      </c>
      <c r="D48" s="44">
        <f>SUM(D43:D47)</f>
        <v>1495771.6815748089</v>
      </c>
      <c r="E48" s="44"/>
      <c r="F48" s="44">
        <f>SUM(F43:F47)</f>
        <v>1138082.6743440947</v>
      </c>
    </row>
    <row r="50" spans="2:8" x14ac:dyDescent="0.3">
      <c r="B50" s="34" t="s">
        <v>150</v>
      </c>
      <c r="C50" s="47" t="s">
        <v>3</v>
      </c>
      <c r="D50" s="41">
        <f>Taustalaskenta!D137*D70*D18</f>
        <v>1399372.8</v>
      </c>
      <c r="E50" s="41"/>
      <c r="F50" s="41">
        <f>Taustalaskenta!F137*F70*F18</f>
        <v>1267144.7039999999</v>
      </c>
    </row>
    <row r="51" spans="2:8" x14ac:dyDescent="0.3">
      <c r="B51" s="39" t="s">
        <v>151</v>
      </c>
      <c r="C51" s="39" t="s">
        <v>3</v>
      </c>
      <c r="D51" s="42">
        <f>D50-D43</f>
        <v>478991.40848067007</v>
      </c>
      <c r="E51" s="42"/>
      <c r="F51" s="42">
        <f>F50-F43</f>
        <v>503048.57343593193</v>
      </c>
    </row>
    <row r="52" spans="2:8" x14ac:dyDescent="0.3">
      <c r="B52" s="48" t="s">
        <v>152</v>
      </c>
      <c r="C52" s="48" t="s">
        <v>1</v>
      </c>
      <c r="D52" s="49">
        <f>1+D51/D43</f>
        <v>1.5204270891330927</v>
      </c>
      <c r="E52" s="49"/>
      <c r="F52" s="49">
        <f>1+F51/F43</f>
        <v>1.6583577030609662</v>
      </c>
    </row>
    <row r="53" spans="2:8" x14ac:dyDescent="0.3">
      <c r="D53" s="2"/>
      <c r="E53" s="2"/>
      <c r="F53" s="2"/>
    </row>
    <row r="54" spans="2:8" x14ac:dyDescent="0.3">
      <c r="B54" s="62" t="s">
        <v>132</v>
      </c>
      <c r="C54" s="62"/>
      <c r="D54" s="99" t="s">
        <v>162</v>
      </c>
      <c r="E54" s="99"/>
      <c r="F54" s="99" t="s">
        <v>163</v>
      </c>
    </row>
    <row r="55" spans="2:8" x14ac:dyDescent="0.3">
      <c r="B55" s="100" t="s">
        <v>133</v>
      </c>
      <c r="C55" s="100"/>
      <c r="D55" s="101">
        <f>D28*D11*D18*0.135*20.6</f>
        <v>199731.42000000004</v>
      </c>
      <c r="E55" s="101"/>
      <c r="F55" s="101">
        <f>F28*F11*F18*0.135*20.6</f>
        <v>199731.42000000004</v>
      </c>
    </row>
    <row r="56" spans="2:8" x14ac:dyDescent="0.3">
      <c r="B56" s="36" t="s">
        <v>189</v>
      </c>
      <c r="C56" s="36" t="s">
        <v>0</v>
      </c>
      <c r="D56" s="113">
        <v>80000</v>
      </c>
      <c r="E56" s="113"/>
      <c r="F56" s="113">
        <v>80000</v>
      </c>
      <c r="G56" s="106"/>
      <c r="H56" s="107"/>
    </row>
    <row r="57" spans="2:8" x14ac:dyDescent="0.3">
      <c r="B57" s="36" t="s">
        <v>134</v>
      </c>
      <c r="C57" s="36" t="s">
        <v>1</v>
      </c>
      <c r="D57" s="114">
        <v>0.4</v>
      </c>
      <c r="E57" s="114"/>
      <c r="F57" s="114">
        <v>0.4</v>
      </c>
      <c r="G57" s="106"/>
      <c r="H57" s="107"/>
    </row>
    <row r="58" spans="2:8" x14ac:dyDescent="0.3">
      <c r="B58" s="36" t="s">
        <v>135</v>
      </c>
      <c r="C58" s="36" t="s">
        <v>191</v>
      </c>
      <c r="D58" s="87">
        <v>640</v>
      </c>
      <c r="E58" s="87"/>
      <c r="F58" s="87">
        <v>640</v>
      </c>
      <c r="G58" s="106"/>
      <c r="H58" s="107"/>
    </row>
    <row r="59" spans="2:8" x14ac:dyDescent="0.3">
      <c r="B59" s="102" t="s">
        <v>136</v>
      </c>
      <c r="C59" s="102" t="s">
        <v>3</v>
      </c>
      <c r="D59" s="103">
        <f>D69*0.016*D56*D57</f>
        <v>327680</v>
      </c>
      <c r="E59" s="103"/>
      <c r="F59" s="103">
        <f>F69*0.016*F56*F57</f>
        <v>327680</v>
      </c>
    </row>
    <row r="60" spans="2:8" x14ac:dyDescent="0.3">
      <c r="B60" s="36" t="s">
        <v>190</v>
      </c>
      <c r="C60" s="36" t="s">
        <v>0</v>
      </c>
      <c r="D60" s="113">
        <f>30*60</f>
        <v>1800</v>
      </c>
      <c r="E60" s="113"/>
      <c r="F60" s="113">
        <f>30*60</f>
        <v>1800</v>
      </c>
      <c r="G60" s="106"/>
      <c r="H60" s="107"/>
    </row>
    <row r="61" spans="2:8" x14ac:dyDescent="0.3">
      <c r="B61" s="36" t="s">
        <v>138</v>
      </c>
      <c r="C61" s="36" t="s">
        <v>1</v>
      </c>
      <c r="D61" s="114">
        <v>0.86</v>
      </c>
      <c r="E61" s="114"/>
      <c r="F61" s="114">
        <v>0.86</v>
      </c>
      <c r="G61" s="106"/>
      <c r="H61" s="107"/>
    </row>
    <row r="62" spans="2:8" x14ac:dyDescent="0.3">
      <c r="B62" s="36" t="s">
        <v>139</v>
      </c>
      <c r="C62" s="36" t="s">
        <v>44</v>
      </c>
      <c r="D62" s="87">
        <v>12.5</v>
      </c>
      <c r="E62" s="87"/>
      <c r="F62" s="87">
        <v>12.5</v>
      </c>
      <c r="G62" s="106"/>
      <c r="H62" s="107"/>
    </row>
    <row r="63" spans="2:8" x14ac:dyDescent="0.3">
      <c r="B63" s="1" t="s">
        <v>140</v>
      </c>
      <c r="C63" s="1" t="s">
        <v>3</v>
      </c>
      <c r="D63" s="43">
        <f>D60*D61*D62</f>
        <v>19350</v>
      </c>
      <c r="E63" s="43"/>
      <c r="F63" s="43">
        <f>F60*F61*F62</f>
        <v>19350</v>
      </c>
    </row>
    <row r="64" spans="2:8" x14ac:dyDescent="0.3">
      <c r="B64" s="56" t="s">
        <v>137</v>
      </c>
      <c r="C64" s="56" t="s">
        <v>3</v>
      </c>
      <c r="D64" s="57">
        <f>D55+D59+D63</f>
        <v>546761.42000000004</v>
      </c>
      <c r="E64" s="57"/>
      <c r="F64" s="57">
        <f>F55+F59+F63</f>
        <v>546761.42000000004</v>
      </c>
    </row>
    <row r="65" spans="2:8" x14ac:dyDescent="0.3">
      <c r="B65" s="33" t="s">
        <v>141</v>
      </c>
      <c r="C65" s="33" t="s">
        <v>3</v>
      </c>
      <c r="D65" s="58">
        <f>D48-D64</f>
        <v>949010.26157480886</v>
      </c>
      <c r="E65" s="58"/>
      <c r="F65" s="58">
        <f>F48-F64</f>
        <v>591321.25434409466</v>
      </c>
    </row>
    <row r="66" spans="2:8" x14ac:dyDescent="0.3">
      <c r="D66" s="5"/>
      <c r="E66" s="5"/>
      <c r="F66" s="5"/>
    </row>
    <row r="67" spans="2:8" x14ac:dyDescent="0.3">
      <c r="B67" s="62" t="s">
        <v>192</v>
      </c>
      <c r="C67" s="62"/>
      <c r="D67" s="99" t="s">
        <v>162</v>
      </c>
      <c r="E67" s="99"/>
      <c r="F67" s="99" t="s">
        <v>163</v>
      </c>
    </row>
    <row r="68" spans="2:8" x14ac:dyDescent="0.3">
      <c r="B68" t="s">
        <v>143</v>
      </c>
      <c r="C68" t="s">
        <v>144</v>
      </c>
      <c r="D68" s="115">
        <v>40</v>
      </c>
      <c r="E68" s="115"/>
      <c r="F68" s="115">
        <v>30</v>
      </c>
      <c r="G68" s="106"/>
      <c r="H68" s="107"/>
    </row>
    <row r="69" spans="2:8" x14ac:dyDescent="0.3">
      <c r="B69" s="85" t="s">
        <v>127</v>
      </c>
      <c r="C69" s="36" t="s">
        <v>191</v>
      </c>
      <c r="D69" s="116">
        <v>640</v>
      </c>
      <c r="E69" s="116"/>
      <c r="F69" s="116">
        <v>640</v>
      </c>
      <c r="G69" s="106"/>
      <c r="H69" s="107"/>
    </row>
    <row r="70" spans="2:8" x14ac:dyDescent="0.3">
      <c r="B70" s="19" t="s">
        <v>43</v>
      </c>
      <c r="C70" t="s">
        <v>44</v>
      </c>
      <c r="D70" s="51">
        <f>D69*0.016</f>
        <v>10.24</v>
      </c>
      <c r="E70" s="51"/>
      <c r="F70" s="51">
        <f t="shared" ref="F70" si="3">F69*0.016</f>
        <v>10.24</v>
      </c>
    </row>
    <row r="71" spans="2:8" x14ac:dyDescent="0.3">
      <c r="B71" t="s">
        <v>142</v>
      </c>
      <c r="C71" t="s">
        <v>0</v>
      </c>
      <c r="D71" s="45">
        <f>D65/D70</f>
        <v>92676.783356914922</v>
      </c>
      <c r="E71" s="45"/>
      <c r="F71" s="45">
        <f>F65/F70</f>
        <v>57746.21624454049</v>
      </c>
    </row>
    <row r="72" spans="2:8" x14ac:dyDescent="0.3">
      <c r="B72" s="53" t="s">
        <v>156</v>
      </c>
      <c r="C72" s="53" t="s">
        <v>145</v>
      </c>
      <c r="D72" s="54">
        <f>D71/D68</f>
        <v>2316.9195839228732</v>
      </c>
      <c r="E72" s="54"/>
      <c r="F72" s="54">
        <f>F71/F68</f>
        <v>1924.8738748180162</v>
      </c>
    </row>
    <row r="73" spans="2:8" x14ac:dyDescent="0.3">
      <c r="B73" s="53" t="s">
        <v>148</v>
      </c>
      <c r="C73" s="53" t="s">
        <v>145</v>
      </c>
      <c r="D73" s="54">
        <f>(D71+Taustalaskenta!D140)/D68</f>
        <v>3486.3322022838838</v>
      </c>
      <c r="E73" s="54"/>
      <c r="F73" s="54">
        <f>(F71+Taustalaskenta!F140)/F68</f>
        <v>3562.401783138107</v>
      </c>
      <c r="H73" t="s">
        <v>149</v>
      </c>
    </row>
    <row r="74" spans="2:8" x14ac:dyDescent="0.3">
      <c r="B74" t="s">
        <v>155</v>
      </c>
      <c r="C74" s="59" t="s">
        <v>145</v>
      </c>
      <c r="D74" s="45">
        <f>D73-D72</f>
        <v>1169.4126183610106</v>
      </c>
      <c r="E74" s="45"/>
      <c r="F74" s="45">
        <f>F73-F72</f>
        <v>1637.5279083200908</v>
      </c>
    </row>
    <row r="75" spans="2:8" x14ac:dyDescent="0.3">
      <c r="B75" t="s">
        <v>155</v>
      </c>
      <c r="C75" s="59" t="s">
        <v>1</v>
      </c>
      <c r="D75" s="46">
        <f>1+D74/D72</f>
        <v>1.50472732263803</v>
      </c>
      <c r="E75" s="46"/>
      <c r="F75" s="46">
        <f>1+F74/F72</f>
        <v>1.8507195872638191</v>
      </c>
    </row>
    <row r="76" spans="2:8" x14ac:dyDescent="0.3">
      <c r="B76" t="s">
        <v>157</v>
      </c>
      <c r="C76" s="59" t="s">
        <v>159</v>
      </c>
      <c r="D76" s="117">
        <v>0.25</v>
      </c>
      <c r="E76" s="117"/>
      <c r="F76" s="117">
        <v>0.25</v>
      </c>
      <c r="G76" s="106"/>
      <c r="H76" s="107"/>
    </row>
    <row r="77" spans="2:8" x14ac:dyDescent="0.3">
      <c r="B77" s="53" t="s">
        <v>158</v>
      </c>
      <c r="C77" s="53" t="s">
        <v>145</v>
      </c>
      <c r="D77" s="54">
        <f>D74*D76+D72</f>
        <v>2609.2727385131257</v>
      </c>
      <c r="E77" s="54"/>
      <c r="F77" s="54">
        <f>F74*F76+F72</f>
        <v>2334.2558518980391</v>
      </c>
    </row>
    <row r="78" spans="2:8" x14ac:dyDescent="0.3">
      <c r="C78" s="59"/>
      <c r="D78" s="46"/>
      <c r="E78" s="46"/>
      <c r="F78" s="46"/>
    </row>
    <row r="79" spans="2:8" x14ac:dyDescent="0.3">
      <c r="C79" s="59"/>
      <c r="D79" s="46"/>
      <c r="E79" s="46"/>
      <c r="F79" s="46"/>
    </row>
    <row r="80" spans="2:8" x14ac:dyDescent="0.3">
      <c r="C80" s="59"/>
      <c r="D80" s="46"/>
      <c r="E80" s="46"/>
      <c r="F80" s="46"/>
    </row>
    <row r="81" spans="3:6" x14ac:dyDescent="0.3">
      <c r="C81" s="59"/>
      <c r="D81" s="46"/>
      <c r="E81" s="46"/>
      <c r="F81" s="46"/>
    </row>
    <row r="82" spans="3:6" x14ac:dyDescent="0.3">
      <c r="C82" s="59"/>
      <c r="D82" s="46"/>
      <c r="E82" s="46"/>
      <c r="F82" s="46"/>
    </row>
    <row r="83" spans="3:6" x14ac:dyDescent="0.3">
      <c r="C83" s="59"/>
      <c r="D83" s="46"/>
      <c r="E83" s="46"/>
      <c r="F83" s="46"/>
    </row>
    <row r="84" spans="3:6" x14ac:dyDescent="0.3">
      <c r="C84" s="59"/>
      <c r="D84" s="46"/>
      <c r="E84" s="46"/>
      <c r="F84" s="46"/>
    </row>
    <row r="85" spans="3:6" x14ac:dyDescent="0.3">
      <c r="C85" s="59"/>
      <c r="D85" s="46"/>
      <c r="E85" s="46"/>
      <c r="F85" s="46"/>
    </row>
    <row r="86" spans="3:6" x14ac:dyDescent="0.3">
      <c r="C86" s="59"/>
      <c r="D86" s="46"/>
      <c r="E86" s="46"/>
      <c r="F86" s="46"/>
    </row>
    <row r="87" spans="3:6" x14ac:dyDescent="0.3">
      <c r="C87" s="59"/>
      <c r="D87" s="46"/>
      <c r="E87" s="46"/>
      <c r="F87" s="46"/>
    </row>
    <row r="88" spans="3:6" x14ac:dyDescent="0.3">
      <c r="C88" s="59"/>
      <c r="D88" s="46"/>
      <c r="E88" s="46"/>
      <c r="F88" s="46"/>
    </row>
    <row r="89" spans="3:6" x14ac:dyDescent="0.3">
      <c r="C89" s="59"/>
      <c r="D89" s="46"/>
      <c r="E89" s="46"/>
      <c r="F89" s="46"/>
    </row>
    <row r="90" spans="3:6" x14ac:dyDescent="0.3">
      <c r="C90" s="59"/>
      <c r="D90" s="46"/>
      <c r="E90" s="46"/>
      <c r="F90" s="46"/>
    </row>
    <row r="91" spans="3:6" x14ac:dyDescent="0.3">
      <c r="C91" s="59"/>
      <c r="D91" s="46"/>
      <c r="E91" s="46"/>
      <c r="F91" s="46"/>
    </row>
    <row r="92" spans="3:6" x14ac:dyDescent="0.3">
      <c r="D92" s="5"/>
      <c r="E92" s="5"/>
      <c r="F92" s="5"/>
    </row>
  </sheetData>
  <sheetProtection algorithmName="SHA-512" hashValue="rUp3YvwbkHf+THCXsocwSKFAYzrfsTI/klKnir9YsRm+dEUzALqGXbBUzIoRmaP/N6XVogGDJ4Q+dhaB3FFqzA==" saltValue="DMOGQfI22yQYZWmrnfsETg==" spinCount="100000" sheet="1" objects="1" scenarios="1"/>
  <dataValidations count="1">
    <dataValidation type="list" allowBlank="1" showInputMessage="1" showErrorMessage="1" sqref="D25:F26" xr:uid="{00000000-0002-0000-0000-000000000000}">
      <formula1>$I$5:$I$7</formula1>
    </dataValidation>
  </dataValidations>
  <printOptions horizontalCentered="1"/>
  <pageMargins left="0.39370078740157483" right="0.39370078740157483" top="0.39370078740157483" bottom="0.39370078740157483" header="0.31496062992125984" footer="0.31496062992125984"/>
  <pageSetup paperSize="9" scale="95" orientation="portrait" r:id="rId1"/>
  <rowBreaks count="1" manualBreakCount="1">
    <brk id="53" max="6"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167D-5F90-4368-BF2B-39562760DD71}">
  <dimension ref="A2:M239"/>
  <sheetViews>
    <sheetView zoomScaleNormal="100" workbookViewId="0">
      <selection activeCell="J28" sqref="J28"/>
    </sheetView>
  </sheetViews>
  <sheetFormatPr defaultRowHeight="14.4" x14ac:dyDescent="0.3"/>
  <cols>
    <col min="1" max="1" width="2.77734375" style="36" customWidth="1"/>
    <col min="2" max="2" width="47.88671875" customWidth="1"/>
    <col min="4" max="4" width="12.44140625" bestFit="1" customWidth="1"/>
    <col min="5" max="5" width="5.5546875" customWidth="1"/>
    <col min="6" max="6" width="12.44140625" bestFit="1" customWidth="1"/>
    <col min="7" max="7" width="2.6640625" style="36" customWidth="1"/>
    <col min="11" max="11" width="10.77734375" bestFit="1" customWidth="1"/>
  </cols>
  <sheetData>
    <row r="2" spans="2:13" x14ac:dyDescent="0.3">
      <c r="I2" s="119"/>
      <c r="J2" s="119"/>
      <c r="K2" s="119"/>
      <c r="L2" s="119"/>
      <c r="M2" s="119"/>
    </row>
    <row r="3" spans="2:13" x14ac:dyDescent="0.3">
      <c r="I3" s="119"/>
      <c r="J3" s="119"/>
      <c r="K3" s="119"/>
      <c r="L3" s="119"/>
      <c r="M3" s="119"/>
    </row>
    <row r="4" spans="2:13" x14ac:dyDescent="0.3">
      <c r="I4" s="119"/>
      <c r="J4" s="119"/>
      <c r="K4" s="119"/>
      <c r="L4" s="119"/>
      <c r="M4" s="119"/>
    </row>
    <row r="5" spans="2:13" ht="21" x14ac:dyDescent="0.4">
      <c r="B5" s="4" t="s">
        <v>32</v>
      </c>
      <c r="I5" s="118" t="s">
        <v>60</v>
      </c>
      <c r="J5" s="118">
        <v>1</v>
      </c>
      <c r="K5" s="118">
        <f>VLOOKUP(D25,I5:J7,2,0)</f>
        <v>3</v>
      </c>
      <c r="L5" s="118">
        <f>VLOOKUP(F25,I5:J7,2,0)</f>
        <v>3</v>
      </c>
      <c r="M5" s="119"/>
    </row>
    <row r="6" spans="2:13" x14ac:dyDescent="0.3">
      <c r="B6" s="5" t="s">
        <v>169</v>
      </c>
      <c r="I6" s="118" t="s">
        <v>61</v>
      </c>
      <c r="J6" s="118">
        <v>2</v>
      </c>
      <c r="K6" s="118">
        <f>VLOOKUP(D26,I5:J7,2,0)</f>
        <v>2</v>
      </c>
      <c r="L6" s="118">
        <f>VLOOKUP(F26,I5:J7,2,0)</f>
        <v>2</v>
      </c>
      <c r="M6" s="119"/>
    </row>
    <row r="7" spans="2:13" x14ac:dyDescent="0.3">
      <c r="I7" s="118" t="s">
        <v>62</v>
      </c>
      <c r="J7" s="118">
        <v>3</v>
      </c>
      <c r="K7" s="118"/>
      <c r="L7" s="118"/>
      <c r="M7" s="119"/>
    </row>
    <row r="8" spans="2:13" x14ac:dyDescent="0.3">
      <c r="B8" s="62" t="s">
        <v>187</v>
      </c>
      <c r="C8" s="62"/>
      <c r="D8" s="99" t="s">
        <v>162</v>
      </c>
      <c r="E8" s="99"/>
      <c r="F8" s="99" t="s">
        <v>163</v>
      </c>
      <c r="I8" s="119" t="s">
        <v>160</v>
      </c>
      <c r="J8" s="119"/>
      <c r="K8" s="119"/>
      <c r="L8" s="119"/>
      <c r="M8" s="119"/>
    </row>
    <row r="9" spans="2:13" x14ac:dyDescent="0.3">
      <c r="B9" s="34" t="s">
        <v>35</v>
      </c>
      <c r="C9" s="34" t="s">
        <v>39</v>
      </c>
      <c r="D9" s="104">
        <f>'Laitumen sadon arviointia'!D9</f>
        <v>44348</v>
      </c>
      <c r="E9" s="104"/>
      <c r="F9" s="104">
        <f>'Laitumen sadon arviointia'!F9</f>
        <v>44348</v>
      </c>
      <c r="J9" t="s">
        <v>193</v>
      </c>
      <c r="K9" t="s">
        <v>193</v>
      </c>
    </row>
    <row r="10" spans="2:13" x14ac:dyDescent="0.3">
      <c r="B10" s="36" t="s">
        <v>36</v>
      </c>
      <c r="C10" s="36" t="s">
        <v>39</v>
      </c>
      <c r="D10" s="105">
        <f>'Laitumen sadon arviointia'!D10</f>
        <v>44481</v>
      </c>
      <c r="E10" s="105"/>
      <c r="F10" s="105">
        <f>'Laitumen sadon arviointia'!F10</f>
        <v>44481</v>
      </c>
      <c r="I10" s="1" t="s">
        <v>161</v>
      </c>
      <c r="J10" s="1" t="s">
        <v>194</v>
      </c>
      <c r="K10" s="1" t="s">
        <v>195</v>
      </c>
    </row>
    <row r="11" spans="2:13" x14ac:dyDescent="0.3">
      <c r="B11" s="36" t="s">
        <v>37</v>
      </c>
      <c r="C11" s="36" t="s">
        <v>2</v>
      </c>
      <c r="D11" s="52">
        <f>D10-D9</f>
        <v>133</v>
      </c>
      <c r="E11" s="52"/>
      <c r="F11" s="52">
        <f>F10-F9</f>
        <v>133</v>
      </c>
      <c r="I11" t="s">
        <v>10</v>
      </c>
      <c r="J11">
        <v>685</v>
      </c>
      <c r="K11">
        <v>9</v>
      </c>
    </row>
    <row r="12" spans="2:13" x14ac:dyDescent="0.3">
      <c r="B12" s="36" t="s">
        <v>33</v>
      </c>
      <c r="C12" s="36" t="s">
        <v>39</v>
      </c>
      <c r="D12" s="105">
        <f>'Laitumen sadon arviointia'!D12</f>
        <v>44291</v>
      </c>
      <c r="E12" s="105"/>
      <c r="F12" s="105">
        <f>'Laitumen sadon arviointia'!F12</f>
        <v>44440</v>
      </c>
      <c r="G12" s="106"/>
      <c r="H12" s="107"/>
      <c r="I12" t="s">
        <v>11</v>
      </c>
      <c r="J12">
        <v>690</v>
      </c>
      <c r="K12">
        <v>8</v>
      </c>
    </row>
    <row r="13" spans="2:13" x14ac:dyDescent="0.3">
      <c r="B13" s="36" t="s">
        <v>34</v>
      </c>
      <c r="C13" s="36" t="s">
        <v>39</v>
      </c>
      <c r="D13" s="105">
        <f>'Laitumen sadon arviointia'!D13</f>
        <v>44481</v>
      </c>
      <c r="E13" s="105"/>
      <c r="F13" s="105">
        <f>'Laitumen sadon arviointia'!F13</f>
        <v>44621</v>
      </c>
      <c r="G13" s="106"/>
      <c r="H13" s="107"/>
      <c r="I13" t="s">
        <v>12</v>
      </c>
      <c r="J13">
        <v>715</v>
      </c>
      <c r="K13">
        <v>6</v>
      </c>
    </row>
    <row r="14" spans="2:13" x14ac:dyDescent="0.3">
      <c r="B14" s="39" t="s">
        <v>176</v>
      </c>
      <c r="C14" s="39" t="s">
        <v>2</v>
      </c>
      <c r="D14" s="52">
        <f>D105</f>
        <v>133</v>
      </c>
      <c r="E14" s="52"/>
      <c r="F14" s="52">
        <f>F105</f>
        <v>41</v>
      </c>
      <c r="I14" t="s">
        <v>13</v>
      </c>
      <c r="J14">
        <v>705</v>
      </c>
      <c r="K14">
        <v>6</v>
      </c>
    </row>
    <row r="15" spans="2:13" x14ac:dyDescent="0.3">
      <c r="B15" s="1" t="s">
        <v>38</v>
      </c>
      <c r="C15" s="1" t="s">
        <v>2</v>
      </c>
      <c r="D15" s="63">
        <f>D13-D12</f>
        <v>190</v>
      </c>
      <c r="E15" s="63"/>
      <c r="F15" s="63">
        <f>F13-F12</f>
        <v>181</v>
      </c>
      <c r="I15" t="s">
        <v>14</v>
      </c>
      <c r="J15">
        <v>690</v>
      </c>
      <c r="K15">
        <v>12</v>
      </c>
    </row>
    <row r="16" spans="2:13" x14ac:dyDescent="0.3">
      <c r="I16" s="1" t="s">
        <v>15</v>
      </c>
      <c r="J16" s="1">
        <v>740</v>
      </c>
      <c r="K16" s="1">
        <v>8</v>
      </c>
    </row>
    <row r="17" spans="2:8" x14ac:dyDescent="0.3">
      <c r="B17" s="62" t="s">
        <v>171</v>
      </c>
      <c r="C17" s="62"/>
      <c r="D17" s="99" t="s">
        <v>162</v>
      </c>
      <c r="E17" s="99"/>
      <c r="F17" s="99" t="s">
        <v>163</v>
      </c>
    </row>
    <row r="18" spans="2:8" x14ac:dyDescent="0.3">
      <c r="B18" s="34" t="s">
        <v>48</v>
      </c>
      <c r="C18" s="34" t="s">
        <v>58</v>
      </c>
      <c r="D18" s="108">
        <f>'Laitumen sadon arviointia'!D18</f>
        <v>60</v>
      </c>
      <c r="E18" s="108"/>
      <c r="F18" s="108">
        <f>'Laitumen sadon arviointia'!F18</f>
        <v>60</v>
      </c>
      <c r="G18" s="106"/>
      <c r="H18" s="107"/>
    </row>
    <row r="19" spans="2:8" x14ac:dyDescent="0.3">
      <c r="B19" s="36" t="s">
        <v>53</v>
      </c>
      <c r="C19" s="36" t="s">
        <v>58</v>
      </c>
      <c r="D19" s="109">
        <f>'Laitumen sadon arviointia'!D19</f>
        <v>30</v>
      </c>
      <c r="E19" s="109"/>
      <c r="F19" s="109">
        <f>'Laitumen sadon arviointia'!F19</f>
        <v>30</v>
      </c>
      <c r="G19" s="106"/>
      <c r="H19" s="107"/>
    </row>
    <row r="20" spans="2:8" x14ac:dyDescent="0.3">
      <c r="B20" s="36" t="s">
        <v>49</v>
      </c>
      <c r="C20" s="36" t="s">
        <v>58</v>
      </c>
      <c r="D20" s="109">
        <f>'Laitumen sadon arviointia'!D20</f>
        <v>30</v>
      </c>
      <c r="E20" s="109"/>
      <c r="F20" s="109">
        <f>'Laitumen sadon arviointia'!F20</f>
        <v>30</v>
      </c>
      <c r="G20" s="106"/>
      <c r="H20" s="107"/>
    </row>
    <row r="21" spans="2:8" x14ac:dyDescent="0.3">
      <c r="B21" s="36" t="s">
        <v>52</v>
      </c>
      <c r="C21" s="36" t="s">
        <v>58</v>
      </c>
      <c r="D21" s="109">
        <f>'Laitumen sadon arviointia'!D21</f>
        <v>9</v>
      </c>
      <c r="E21" s="109"/>
      <c r="F21" s="109">
        <f>'Laitumen sadon arviointia'!F21</f>
        <v>9</v>
      </c>
      <c r="G21" s="106"/>
      <c r="H21" s="107"/>
    </row>
    <row r="22" spans="2:8" x14ac:dyDescent="0.3">
      <c r="B22" s="1" t="s">
        <v>54</v>
      </c>
      <c r="C22" s="1" t="s">
        <v>58</v>
      </c>
      <c r="D22" s="110">
        <f>'Laitumen sadon arviointia'!D22</f>
        <v>3</v>
      </c>
      <c r="E22" s="110"/>
      <c r="F22" s="110">
        <f>'Laitumen sadon arviointia'!F22</f>
        <v>3</v>
      </c>
      <c r="G22" s="106"/>
      <c r="H22" s="107"/>
    </row>
    <row r="23" spans="2:8" x14ac:dyDescent="0.3">
      <c r="D23" s="6"/>
      <c r="E23" s="6"/>
      <c r="F23" s="6"/>
    </row>
    <row r="24" spans="2:8" x14ac:dyDescent="0.3">
      <c r="B24" s="62" t="s">
        <v>188</v>
      </c>
      <c r="C24" s="62"/>
      <c r="D24" s="99" t="s">
        <v>162</v>
      </c>
      <c r="E24" s="99"/>
      <c r="F24" s="99" t="s">
        <v>163</v>
      </c>
    </row>
    <row r="25" spans="2:8" x14ac:dyDescent="0.3">
      <c r="B25" s="50" t="s">
        <v>164</v>
      </c>
      <c r="C25" s="50"/>
      <c r="D25" s="111" t="str">
        <f>'Laitumen sadon arviointia'!D25</f>
        <v>Pieni (ab, hf)</v>
      </c>
      <c r="E25" s="111"/>
      <c r="F25" s="111" t="str">
        <f>'Laitumen sadon arviointia'!F25</f>
        <v>Pieni (ab, hf)</v>
      </c>
      <c r="G25" s="106"/>
      <c r="H25" s="107"/>
    </row>
    <row r="26" spans="2:8" x14ac:dyDescent="0.3">
      <c r="B26" s="9" t="s">
        <v>165</v>
      </c>
      <c r="C26" s="9"/>
      <c r="D26" s="112" t="str">
        <f>'Laitumen sadon arviointia'!D26</f>
        <v>Keski (li, ba)</v>
      </c>
      <c r="E26" s="112"/>
      <c r="F26" s="112" t="str">
        <f>'Laitumen sadon arviointia'!F26</f>
        <v>Keski (li, ba)</v>
      </c>
      <c r="G26" s="106"/>
      <c r="H26" s="107"/>
    </row>
    <row r="27" spans="2:8" x14ac:dyDescent="0.3">
      <c r="B27" s="36" t="s">
        <v>55</v>
      </c>
      <c r="C27" s="36" t="s">
        <v>0</v>
      </c>
      <c r="D27" s="112">
        <f>'Laitumen sadon arviointia'!D27</f>
        <v>685</v>
      </c>
      <c r="E27" s="112"/>
      <c r="F27" s="112">
        <f>'Laitumen sadon arviointia'!F27</f>
        <v>690</v>
      </c>
      <c r="G27" s="106"/>
      <c r="H27" s="107"/>
    </row>
    <row r="28" spans="2:8" x14ac:dyDescent="0.3">
      <c r="B28" s="36" t="s">
        <v>56</v>
      </c>
      <c r="C28" s="36" t="s">
        <v>4</v>
      </c>
      <c r="D28" s="112">
        <f>'Laitumen sadon arviointia'!D28</f>
        <v>9</v>
      </c>
      <c r="E28" s="112"/>
      <c r="F28" s="112">
        <f>'Laitumen sadon arviointia'!F28</f>
        <v>9</v>
      </c>
      <c r="G28" s="106"/>
      <c r="H28" s="107"/>
    </row>
    <row r="29" spans="2:8" x14ac:dyDescent="0.3">
      <c r="B29" s="36" t="s">
        <v>50</v>
      </c>
      <c r="C29" s="36" t="s">
        <v>57</v>
      </c>
      <c r="D29" s="109">
        <f>'Laitumen sadon arviointia'!D29</f>
        <v>1250</v>
      </c>
      <c r="E29" s="109"/>
      <c r="F29" s="109">
        <f>'Laitumen sadon arviointia'!F29</f>
        <v>1250</v>
      </c>
      <c r="G29" s="106"/>
      <c r="H29" s="107"/>
    </row>
    <row r="30" spans="2:8" x14ac:dyDescent="0.3">
      <c r="B30" s="36" t="s">
        <v>51</v>
      </c>
      <c r="C30" s="36" t="s">
        <v>57</v>
      </c>
      <c r="D30" s="109">
        <f>'Laitumen sadon arviointia'!D30</f>
        <v>1050</v>
      </c>
      <c r="E30" s="109"/>
      <c r="F30" s="109">
        <f>'Laitumen sadon arviointia'!F30</f>
        <v>1050</v>
      </c>
      <c r="G30" s="106"/>
      <c r="H30" s="107"/>
    </row>
    <row r="31" spans="2:8" x14ac:dyDescent="0.3">
      <c r="B31" s="36" t="s">
        <v>38</v>
      </c>
      <c r="C31" s="36" t="s">
        <v>5</v>
      </c>
      <c r="D31" s="79">
        <f>D15/30.4</f>
        <v>6.25</v>
      </c>
      <c r="E31" s="52"/>
      <c r="F31" s="79">
        <f>F15/30.4</f>
        <v>5.9539473684210531</v>
      </c>
    </row>
    <row r="32" spans="2:8" x14ac:dyDescent="0.3">
      <c r="B32" s="36" t="s">
        <v>59</v>
      </c>
      <c r="C32" s="36" t="s">
        <v>0</v>
      </c>
      <c r="D32" s="80">
        <f>D29/1000*D15+D173</f>
        <v>281.5</v>
      </c>
      <c r="E32" s="80"/>
      <c r="F32" s="80">
        <f>F29/1000*F15+F173</f>
        <v>270.25</v>
      </c>
    </row>
    <row r="33" spans="2:6" x14ac:dyDescent="0.3">
      <c r="B33" s="1" t="s">
        <v>89</v>
      </c>
      <c r="C33" s="1" t="s">
        <v>0</v>
      </c>
      <c r="D33" s="81">
        <f>D30/1000*D15+D174</f>
        <v>240.5</v>
      </c>
      <c r="E33" s="81"/>
      <c r="F33" s="81">
        <f>F30/1000*F15+F174</f>
        <v>231.05</v>
      </c>
    </row>
    <row r="34" spans="2:6" x14ac:dyDescent="0.3">
      <c r="D34" s="5"/>
      <c r="E34" s="5"/>
      <c r="F34" s="5"/>
    </row>
    <row r="35" spans="2:6" x14ac:dyDescent="0.3">
      <c r="B35" s="62" t="s">
        <v>154</v>
      </c>
      <c r="C35" s="62"/>
      <c r="D35" s="99" t="s">
        <v>162</v>
      </c>
      <c r="E35" s="99"/>
      <c r="F35" s="99" t="s">
        <v>163</v>
      </c>
    </row>
    <row r="36" spans="2:6" x14ac:dyDescent="0.3">
      <c r="B36" s="34" t="s">
        <v>128</v>
      </c>
      <c r="C36" s="34" t="s">
        <v>31</v>
      </c>
      <c r="D36" s="41">
        <f>D120</f>
        <v>115.33601397485337</v>
      </c>
      <c r="E36" s="35"/>
      <c r="F36" s="41">
        <f>F120</f>
        <v>95.751394807527319</v>
      </c>
    </row>
    <row r="37" spans="2:6" x14ac:dyDescent="0.3">
      <c r="B37" s="36" t="s">
        <v>129</v>
      </c>
      <c r="C37" s="36" t="s">
        <v>31</v>
      </c>
      <c r="D37" s="82">
        <f>D226</f>
        <v>60.675863202580167</v>
      </c>
      <c r="E37" s="37"/>
      <c r="F37" s="82">
        <f>F226</f>
        <v>34.030291513956129</v>
      </c>
    </row>
    <row r="38" spans="2:6" x14ac:dyDescent="0.3">
      <c r="B38" s="36" t="s">
        <v>130</v>
      </c>
      <c r="C38" s="36" t="s">
        <v>31</v>
      </c>
      <c r="D38" s="82">
        <f>D239</f>
        <v>51.400171770608623</v>
      </c>
      <c r="E38" s="37"/>
      <c r="F38" s="82">
        <f>F239</f>
        <v>31.376596701972797</v>
      </c>
    </row>
    <row r="39" spans="2:6" x14ac:dyDescent="0.3">
      <c r="B39" s="36" t="s">
        <v>105</v>
      </c>
      <c r="C39" s="36" t="s">
        <v>31</v>
      </c>
      <c r="D39" s="82">
        <f>D196</f>
        <v>74.963297401633184</v>
      </c>
      <c r="E39" s="37"/>
      <c r="F39" s="82">
        <f>F196</f>
        <v>62.270021951352959</v>
      </c>
    </row>
    <row r="40" spans="2:6" x14ac:dyDescent="0.3">
      <c r="B40" s="1" t="s">
        <v>121</v>
      </c>
      <c r="C40" s="1" t="s">
        <v>31</v>
      </c>
      <c r="D40" s="83">
        <f>D209</f>
        <v>96.430685520553141</v>
      </c>
      <c r="E40" s="38"/>
      <c r="F40" s="83">
        <f>F209</f>
        <v>96.430685520553141</v>
      </c>
    </row>
    <row r="42" spans="2:6" x14ac:dyDescent="0.3">
      <c r="B42" s="62" t="s">
        <v>153</v>
      </c>
      <c r="C42" s="62"/>
      <c r="D42" s="99" t="s">
        <v>162</v>
      </c>
      <c r="E42" s="99"/>
      <c r="F42" s="99" t="s">
        <v>163</v>
      </c>
    </row>
    <row r="43" spans="2:6" x14ac:dyDescent="0.3">
      <c r="B43" s="34" t="s">
        <v>128</v>
      </c>
      <c r="C43" s="34" t="s">
        <v>3</v>
      </c>
      <c r="D43" s="41">
        <f>D18*D36*D$11</f>
        <v>920381.39151932998</v>
      </c>
      <c r="E43" s="41"/>
      <c r="F43" s="41">
        <f>F18*F36*F$11</f>
        <v>764096.13056406798</v>
      </c>
    </row>
    <row r="44" spans="2:6" x14ac:dyDescent="0.3">
      <c r="B44" s="39" t="s">
        <v>129</v>
      </c>
      <c r="C44" s="39" t="s">
        <v>3</v>
      </c>
      <c r="D44" s="98">
        <f>D19*D37*D$11</f>
        <v>242096.69417829486</v>
      </c>
      <c r="E44" s="98"/>
      <c r="F44" s="98">
        <f>F19*F37*F$11</f>
        <v>135780.86314068496</v>
      </c>
    </row>
    <row r="45" spans="2:6" x14ac:dyDescent="0.3">
      <c r="B45" s="39" t="s">
        <v>130</v>
      </c>
      <c r="C45" s="39" t="s">
        <v>3</v>
      </c>
      <c r="D45" s="98">
        <f>D20*D38*D$11</f>
        <v>205086.68536472842</v>
      </c>
      <c r="E45" s="98"/>
      <c r="F45" s="98">
        <f>F20*F38*F$11</f>
        <v>125192.62084087146</v>
      </c>
    </row>
    <row r="46" spans="2:6" x14ac:dyDescent="0.3">
      <c r="B46" s="36" t="s">
        <v>105</v>
      </c>
      <c r="C46" s="36" t="s">
        <v>3</v>
      </c>
      <c r="D46" s="42">
        <f>D21*D39*D$11</f>
        <v>89731.066989754923</v>
      </c>
      <c r="E46" s="42"/>
      <c r="F46" s="42">
        <f>F21*F39*F$11</f>
        <v>74537.21627576949</v>
      </c>
    </row>
    <row r="47" spans="2:6" x14ac:dyDescent="0.3">
      <c r="B47" s="1" t="s">
        <v>121</v>
      </c>
      <c r="C47" s="1" t="s">
        <v>3</v>
      </c>
      <c r="D47" s="43">
        <f>D22*D40*D$11</f>
        <v>38475.843522700707</v>
      </c>
      <c r="E47" s="43"/>
      <c r="F47" s="43">
        <f>F22*F40*F$11</f>
        <v>38475.843522700707</v>
      </c>
    </row>
    <row r="48" spans="2:6" x14ac:dyDescent="0.3">
      <c r="B48" s="40" t="s">
        <v>131</v>
      </c>
      <c r="C48" s="40" t="s">
        <v>3</v>
      </c>
      <c r="D48" s="44">
        <f>SUM(D43:D47)</f>
        <v>1495771.6815748089</v>
      </c>
      <c r="E48" s="44"/>
      <c r="F48" s="44">
        <f>SUM(F43:F47)</f>
        <v>1138082.6743440947</v>
      </c>
    </row>
    <row r="50" spans="2:8" x14ac:dyDescent="0.3">
      <c r="B50" s="34" t="s">
        <v>150</v>
      </c>
      <c r="C50" s="47" t="s">
        <v>3</v>
      </c>
      <c r="D50" s="41">
        <f>D137*D70*D18</f>
        <v>1399372.8</v>
      </c>
      <c r="E50" s="41"/>
      <c r="F50" s="41">
        <f>F137*F70*F18</f>
        <v>1267144.7039999999</v>
      </c>
    </row>
    <row r="51" spans="2:8" x14ac:dyDescent="0.3">
      <c r="B51" s="39" t="s">
        <v>151</v>
      </c>
      <c r="C51" s="39" t="s">
        <v>3</v>
      </c>
      <c r="D51" s="42">
        <f>D50-D43</f>
        <v>478991.40848067007</v>
      </c>
      <c r="E51" s="42"/>
      <c r="F51" s="42">
        <f>F50-F43</f>
        <v>503048.57343593193</v>
      </c>
    </row>
    <row r="52" spans="2:8" x14ac:dyDescent="0.3">
      <c r="B52" s="48" t="s">
        <v>152</v>
      </c>
      <c r="C52" s="48" t="s">
        <v>1</v>
      </c>
      <c r="D52" s="49">
        <f>1+D51/D43</f>
        <v>1.5204270891330927</v>
      </c>
      <c r="E52" s="49"/>
      <c r="F52" s="49">
        <f>1+F51/F43</f>
        <v>1.6583577030609662</v>
      </c>
    </row>
    <row r="53" spans="2:8" x14ac:dyDescent="0.3">
      <c r="D53" s="2"/>
      <c r="E53" s="2"/>
      <c r="F53" s="2"/>
    </row>
    <row r="54" spans="2:8" x14ac:dyDescent="0.3">
      <c r="B54" s="62" t="s">
        <v>132</v>
      </c>
      <c r="C54" s="62"/>
      <c r="D54" s="99" t="s">
        <v>162</v>
      </c>
      <c r="E54" s="99"/>
      <c r="F54" s="99" t="s">
        <v>163</v>
      </c>
    </row>
    <row r="55" spans="2:8" x14ac:dyDescent="0.3">
      <c r="B55" s="100" t="s">
        <v>133</v>
      </c>
      <c r="C55" s="100"/>
      <c r="D55" s="101">
        <f>D28*D11*D18*0.135*20.6</f>
        <v>199731.42000000004</v>
      </c>
      <c r="E55" s="101"/>
      <c r="F55" s="101">
        <f>F28*F11*F18*0.135*20.6</f>
        <v>199731.42000000004</v>
      </c>
    </row>
    <row r="56" spans="2:8" x14ac:dyDescent="0.3">
      <c r="B56" s="36" t="s">
        <v>189</v>
      </c>
      <c r="C56" s="36" t="s">
        <v>0</v>
      </c>
      <c r="D56" s="113">
        <f>'Laitumen sadon arviointia'!D56</f>
        <v>80000</v>
      </c>
      <c r="E56" s="113"/>
      <c r="F56" s="113">
        <f>'Laitumen sadon arviointia'!F56</f>
        <v>80000</v>
      </c>
      <c r="G56" s="106"/>
      <c r="H56" s="107"/>
    </row>
    <row r="57" spans="2:8" x14ac:dyDescent="0.3">
      <c r="B57" s="36" t="s">
        <v>134</v>
      </c>
      <c r="C57" s="36" t="s">
        <v>1</v>
      </c>
      <c r="D57" s="114">
        <f>'Laitumen sadon arviointia'!D57</f>
        <v>0.4</v>
      </c>
      <c r="E57" s="114"/>
      <c r="F57" s="114">
        <f>'Laitumen sadon arviointia'!F57</f>
        <v>0.4</v>
      </c>
      <c r="G57" s="106"/>
      <c r="H57" s="107"/>
    </row>
    <row r="58" spans="2:8" x14ac:dyDescent="0.3">
      <c r="B58" s="36" t="s">
        <v>135</v>
      </c>
      <c r="C58" s="36" t="s">
        <v>191</v>
      </c>
      <c r="D58" s="87">
        <f>'Laitumen sadon arviointia'!D58</f>
        <v>640</v>
      </c>
      <c r="E58" s="87"/>
      <c r="F58" s="87">
        <f>'Laitumen sadon arviointia'!F58</f>
        <v>640</v>
      </c>
      <c r="G58" s="106"/>
      <c r="H58" s="107"/>
    </row>
    <row r="59" spans="2:8" x14ac:dyDescent="0.3">
      <c r="B59" s="102" t="s">
        <v>136</v>
      </c>
      <c r="C59" s="102" t="s">
        <v>3</v>
      </c>
      <c r="D59" s="103">
        <f>D69*0.016*D56*D57</f>
        <v>327680</v>
      </c>
      <c r="E59" s="103"/>
      <c r="F59" s="103">
        <f>F69*0.016*F56*F57</f>
        <v>327680</v>
      </c>
    </row>
    <row r="60" spans="2:8" x14ac:dyDescent="0.3">
      <c r="B60" s="36" t="s">
        <v>190</v>
      </c>
      <c r="C60" s="36" t="s">
        <v>0</v>
      </c>
      <c r="D60" s="113">
        <f>'Laitumen sadon arviointia'!D60</f>
        <v>1800</v>
      </c>
      <c r="E60" s="113"/>
      <c r="F60" s="113">
        <f>'Laitumen sadon arviointia'!F60</f>
        <v>1800</v>
      </c>
      <c r="G60" s="106"/>
      <c r="H60" s="107"/>
    </row>
    <row r="61" spans="2:8" x14ac:dyDescent="0.3">
      <c r="B61" s="36" t="s">
        <v>138</v>
      </c>
      <c r="C61" s="36" t="s">
        <v>1</v>
      </c>
      <c r="D61" s="114">
        <f>'Laitumen sadon arviointia'!D61</f>
        <v>0.86</v>
      </c>
      <c r="E61" s="114"/>
      <c r="F61" s="114">
        <f>'Laitumen sadon arviointia'!F61</f>
        <v>0.86</v>
      </c>
      <c r="G61" s="106"/>
      <c r="H61" s="107"/>
    </row>
    <row r="62" spans="2:8" x14ac:dyDescent="0.3">
      <c r="B62" s="36" t="s">
        <v>139</v>
      </c>
      <c r="C62" s="36" t="s">
        <v>44</v>
      </c>
      <c r="D62" s="87">
        <f>'Laitumen sadon arviointia'!D62</f>
        <v>12.5</v>
      </c>
      <c r="E62" s="87"/>
      <c r="F62" s="87">
        <f>'Laitumen sadon arviointia'!F62</f>
        <v>12.5</v>
      </c>
      <c r="G62" s="106"/>
      <c r="H62" s="107"/>
    </row>
    <row r="63" spans="2:8" x14ac:dyDescent="0.3">
      <c r="B63" s="1" t="s">
        <v>140</v>
      </c>
      <c r="C63" s="1" t="s">
        <v>3</v>
      </c>
      <c r="D63" s="43">
        <f>D60*D61*D62</f>
        <v>19350</v>
      </c>
      <c r="E63" s="43"/>
      <c r="F63" s="43">
        <f>F60*F61*F62</f>
        <v>19350</v>
      </c>
    </row>
    <row r="64" spans="2:8" x14ac:dyDescent="0.3">
      <c r="B64" s="56" t="s">
        <v>137</v>
      </c>
      <c r="C64" s="56" t="s">
        <v>3</v>
      </c>
      <c r="D64" s="57">
        <f>D55+D59+D63</f>
        <v>546761.42000000004</v>
      </c>
      <c r="E64" s="57"/>
      <c r="F64" s="57">
        <f>F55+F59+F63</f>
        <v>546761.42000000004</v>
      </c>
    </row>
    <row r="65" spans="2:8" x14ac:dyDescent="0.3">
      <c r="B65" s="33" t="s">
        <v>141</v>
      </c>
      <c r="C65" s="33" t="s">
        <v>3</v>
      </c>
      <c r="D65" s="58">
        <f>D48-D64</f>
        <v>949010.26157480886</v>
      </c>
      <c r="E65" s="58"/>
      <c r="F65" s="58">
        <f>F48-F64</f>
        <v>591321.25434409466</v>
      </c>
    </row>
    <row r="66" spans="2:8" x14ac:dyDescent="0.3">
      <c r="D66" s="5"/>
      <c r="E66" s="5"/>
      <c r="F66" s="5"/>
    </row>
    <row r="67" spans="2:8" x14ac:dyDescent="0.3">
      <c r="B67" s="62" t="s">
        <v>192</v>
      </c>
      <c r="C67" s="62"/>
      <c r="D67" s="99" t="s">
        <v>162</v>
      </c>
      <c r="E67" s="99"/>
      <c r="F67" s="99" t="s">
        <v>163</v>
      </c>
    </row>
    <row r="68" spans="2:8" x14ac:dyDescent="0.3">
      <c r="B68" t="s">
        <v>143</v>
      </c>
      <c r="C68" t="s">
        <v>144</v>
      </c>
      <c r="D68" s="115">
        <f>'Laitumen sadon arviointia'!D68</f>
        <v>40</v>
      </c>
      <c r="E68" s="115"/>
      <c r="F68" s="115">
        <f>'Laitumen sadon arviointia'!F68</f>
        <v>30</v>
      </c>
      <c r="G68" s="106"/>
      <c r="H68" s="107"/>
    </row>
    <row r="69" spans="2:8" x14ac:dyDescent="0.3">
      <c r="B69" s="85" t="s">
        <v>127</v>
      </c>
      <c r="C69" s="36" t="s">
        <v>191</v>
      </c>
      <c r="D69" s="116">
        <f>'Laitumen sadon arviointia'!D69</f>
        <v>640</v>
      </c>
      <c r="E69" s="116"/>
      <c r="F69" s="116">
        <f>'Laitumen sadon arviointia'!F69</f>
        <v>640</v>
      </c>
      <c r="G69" s="106"/>
      <c r="H69" s="107"/>
    </row>
    <row r="70" spans="2:8" x14ac:dyDescent="0.3">
      <c r="B70" s="19" t="s">
        <v>43</v>
      </c>
      <c r="C70" t="s">
        <v>44</v>
      </c>
      <c r="D70" s="51">
        <f>D69*0.016</f>
        <v>10.24</v>
      </c>
      <c r="E70" s="51"/>
      <c r="F70" s="51">
        <f t="shared" ref="F70" si="0">F69*0.016</f>
        <v>10.24</v>
      </c>
    </row>
    <row r="71" spans="2:8" x14ac:dyDescent="0.3">
      <c r="B71" t="s">
        <v>142</v>
      </c>
      <c r="C71" t="s">
        <v>0</v>
      </c>
      <c r="D71" s="45">
        <f>D65/D70</f>
        <v>92676.783356914922</v>
      </c>
      <c r="E71" s="45"/>
      <c r="F71" s="45">
        <f>F65/F70</f>
        <v>57746.21624454049</v>
      </c>
    </row>
    <row r="72" spans="2:8" x14ac:dyDescent="0.3">
      <c r="B72" s="53" t="s">
        <v>156</v>
      </c>
      <c r="C72" s="53" t="s">
        <v>145</v>
      </c>
      <c r="D72" s="54">
        <f>D71/D68</f>
        <v>2316.9195839228732</v>
      </c>
      <c r="E72" s="54"/>
      <c r="F72" s="54">
        <f>F71/F68</f>
        <v>1924.8738748180162</v>
      </c>
    </row>
    <row r="73" spans="2:8" x14ac:dyDescent="0.3">
      <c r="B73" s="53" t="s">
        <v>148</v>
      </c>
      <c r="C73" s="53" t="s">
        <v>145</v>
      </c>
      <c r="D73" s="54">
        <f>(D71+D140)/D68</f>
        <v>3486.3322022838838</v>
      </c>
      <c r="E73" s="54"/>
      <c r="F73" s="54">
        <f>(F71+F140)/F68</f>
        <v>3562.401783138107</v>
      </c>
      <c r="H73" t="s">
        <v>149</v>
      </c>
    </row>
    <row r="74" spans="2:8" x14ac:dyDescent="0.3">
      <c r="B74" t="s">
        <v>155</v>
      </c>
      <c r="C74" s="59" t="s">
        <v>145</v>
      </c>
      <c r="D74" s="45">
        <f>D73-D72</f>
        <v>1169.4126183610106</v>
      </c>
      <c r="E74" s="45"/>
      <c r="F74" s="45">
        <f>F73-F72</f>
        <v>1637.5279083200908</v>
      </c>
    </row>
    <row r="75" spans="2:8" x14ac:dyDescent="0.3">
      <c r="B75" t="s">
        <v>155</v>
      </c>
      <c r="C75" s="59" t="s">
        <v>1</v>
      </c>
      <c r="D75" s="46">
        <f>1+D74/D72</f>
        <v>1.50472732263803</v>
      </c>
      <c r="E75" s="46"/>
      <c r="F75" s="46">
        <f>1+F74/F72</f>
        <v>1.8507195872638191</v>
      </c>
    </row>
    <row r="76" spans="2:8" x14ac:dyDescent="0.3">
      <c r="B76" t="s">
        <v>157</v>
      </c>
      <c r="C76" s="59" t="s">
        <v>159</v>
      </c>
      <c r="D76" s="117">
        <f>'Laitumen sadon arviointia'!D76</f>
        <v>0.25</v>
      </c>
      <c r="E76" s="117"/>
      <c r="F76" s="117">
        <f>'Laitumen sadon arviointia'!F76</f>
        <v>0.25</v>
      </c>
      <c r="G76" s="106"/>
      <c r="H76" s="107"/>
    </row>
    <row r="77" spans="2:8" x14ac:dyDescent="0.3">
      <c r="B77" s="53" t="s">
        <v>158</v>
      </c>
      <c r="C77" s="53" t="s">
        <v>145</v>
      </c>
      <c r="D77" s="54">
        <f>D74*D76+D72</f>
        <v>2609.2727385131257</v>
      </c>
      <c r="E77" s="54"/>
      <c r="F77" s="54">
        <f>F74*F76+F72</f>
        <v>2334.2558518980391</v>
      </c>
    </row>
    <row r="78" spans="2:8" x14ac:dyDescent="0.3">
      <c r="C78" s="59"/>
      <c r="D78" s="46"/>
      <c r="E78" s="46"/>
      <c r="F78" s="46"/>
    </row>
    <row r="79" spans="2:8" x14ac:dyDescent="0.3">
      <c r="C79" s="59"/>
      <c r="D79" s="46"/>
      <c r="E79" s="46"/>
      <c r="F79" s="46"/>
    </row>
    <row r="80" spans="2:8" x14ac:dyDescent="0.3">
      <c r="C80" s="59"/>
      <c r="D80" s="46"/>
      <c r="E80" s="46"/>
      <c r="F80" s="46"/>
    </row>
    <row r="81" spans="2:6" x14ac:dyDescent="0.3">
      <c r="C81" s="59"/>
      <c r="D81" s="46"/>
      <c r="E81" s="46"/>
      <c r="F81" s="46"/>
    </row>
    <row r="82" spans="2:6" x14ac:dyDescent="0.3">
      <c r="C82" s="59"/>
      <c r="D82" s="46"/>
      <c r="E82" s="46"/>
      <c r="F82" s="46"/>
    </row>
    <row r="83" spans="2:6" x14ac:dyDescent="0.3">
      <c r="C83" s="59"/>
      <c r="D83" s="46"/>
      <c r="E83" s="46"/>
      <c r="F83" s="46"/>
    </row>
    <row r="84" spans="2:6" x14ac:dyDescent="0.3">
      <c r="C84" s="59"/>
      <c r="D84" s="46"/>
      <c r="E84" s="46"/>
      <c r="F84" s="46"/>
    </row>
    <row r="85" spans="2:6" x14ac:dyDescent="0.3">
      <c r="C85" s="59"/>
      <c r="D85" s="46"/>
      <c r="E85" s="46"/>
      <c r="F85" s="46"/>
    </row>
    <row r="86" spans="2:6" x14ac:dyDescent="0.3">
      <c r="C86" s="59"/>
      <c r="D86" s="46"/>
      <c r="E86" s="46"/>
      <c r="F86" s="46"/>
    </row>
    <row r="87" spans="2:6" x14ac:dyDescent="0.3">
      <c r="C87" s="59"/>
      <c r="D87" s="46"/>
      <c r="E87" s="46"/>
      <c r="F87" s="46"/>
    </row>
    <row r="88" spans="2:6" x14ac:dyDescent="0.3">
      <c r="C88" s="59"/>
      <c r="D88" s="46"/>
      <c r="E88" s="46"/>
      <c r="F88" s="46"/>
    </row>
    <row r="89" spans="2:6" x14ac:dyDescent="0.3">
      <c r="C89" s="59"/>
      <c r="D89" s="46"/>
      <c r="E89" s="46"/>
      <c r="F89" s="46"/>
    </row>
    <row r="90" spans="2:6" x14ac:dyDescent="0.3">
      <c r="C90" s="59"/>
      <c r="D90" s="46"/>
      <c r="E90" s="46"/>
      <c r="F90" s="46"/>
    </row>
    <row r="91" spans="2:6" x14ac:dyDescent="0.3">
      <c r="C91" s="59"/>
      <c r="D91" s="46"/>
      <c r="E91" s="46"/>
      <c r="F91" s="46"/>
    </row>
    <row r="92" spans="2:6" x14ac:dyDescent="0.3">
      <c r="D92" s="5"/>
      <c r="E92" s="5"/>
      <c r="F92" s="5"/>
    </row>
    <row r="93" spans="2:6" x14ac:dyDescent="0.3">
      <c r="D93" s="5"/>
      <c r="E93" s="5"/>
      <c r="F93" s="5"/>
    </row>
    <row r="94" spans="2:6" x14ac:dyDescent="0.3">
      <c r="D94" s="5"/>
      <c r="E94" s="5"/>
      <c r="F94" s="5"/>
    </row>
    <row r="95" spans="2:6" x14ac:dyDescent="0.3">
      <c r="D95" s="5"/>
      <c r="E95" s="5"/>
      <c r="F95" s="5"/>
    </row>
    <row r="96" spans="2:6" x14ac:dyDescent="0.3">
      <c r="B96" s="62" t="s">
        <v>175</v>
      </c>
      <c r="C96" s="62"/>
      <c r="D96" s="99" t="s">
        <v>162</v>
      </c>
      <c r="E96" s="99"/>
      <c r="F96" s="99" t="s">
        <v>163</v>
      </c>
    </row>
    <row r="97" spans="2:6" x14ac:dyDescent="0.3">
      <c r="B97" t="s">
        <v>168</v>
      </c>
      <c r="C97" s="36" t="s">
        <v>2</v>
      </c>
      <c r="D97" s="65">
        <f>D9-D12</f>
        <v>57</v>
      </c>
      <c r="E97" s="55"/>
      <c r="F97" s="65">
        <f>IF((F9-F12)*-1&gt;F11,F11*-1,F9-F12)</f>
        <v>-92</v>
      </c>
    </row>
    <row r="98" spans="2:6" x14ac:dyDescent="0.3">
      <c r="B98" t="s">
        <v>170</v>
      </c>
      <c r="C98" s="36" t="s">
        <v>2</v>
      </c>
      <c r="D98" s="64">
        <f>D10-D12</f>
        <v>190</v>
      </c>
      <c r="E98" s="55"/>
      <c r="F98" s="64">
        <f>F10-F12</f>
        <v>41</v>
      </c>
    </row>
    <row r="99" spans="2:6" x14ac:dyDescent="0.3">
      <c r="B99" s="36" t="s">
        <v>47</v>
      </c>
      <c r="C99" s="36" t="s">
        <v>2</v>
      </c>
      <c r="D99" s="84">
        <f>D11-D100-D101</f>
        <v>133</v>
      </c>
      <c r="E99" s="85"/>
      <c r="F99" s="84">
        <f>F11+F97</f>
        <v>41</v>
      </c>
    </row>
    <row r="100" spans="2:6" x14ac:dyDescent="0.3">
      <c r="B100" s="36" t="s">
        <v>167</v>
      </c>
      <c r="C100" s="36" t="s">
        <v>2</v>
      </c>
      <c r="D100" s="84">
        <f>IF(D97&lt;-30,30,IF(D97&lt;0,D97*-1,0))</f>
        <v>0</v>
      </c>
      <c r="E100" s="85"/>
      <c r="F100" s="84">
        <f>IF(F97&lt;-30,30,IF(F97&lt;0,F97*-1,0))</f>
        <v>30</v>
      </c>
    </row>
    <row r="101" spans="2:6" x14ac:dyDescent="0.3">
      <c r="B101" s="36" t="s">
        <v>166</v>
      </c>
      <c r="C101" s="36" t="s">
        <v>2</v>
      </c>
      <c r="D101" s="84">
        <f>IF(D97&gt;-30,0,(D97+30)*-1)</f>
        <v>0</v>
      </c>
      <c r="E101" s="85"/>
      <c r="F101" s="84">
        <f>IF(F97&gt;-30,0,(F97+30)*-1)</f>
        <v>62</v>
      </c>
    </row>
    <row r="102" spans="2:6" x14ac:dyDescent="0.3">
      <c r="B102" s="39" t="s">
        <v>174</v>
      </c>
      <c r="C102" s="36" t="s">
        <v>2</v>
      </c>
      <c r="D102" s="55">
        <f>SUM(D99:D101)</f>
        <v>133</v>
      </c>
      <c r="E102" s="55"/>
      <c r="F102" s="55">
        <f>SUM(F99:F101)</f>
        <v>133</v>
      </c>
    </row>
    <row r="103" spans="2:6" x14ac:dyDescent="0.3">
      <c r="B103" s="39" t="s">
        <v>172</v>
      </c>
      <c r="C103" s="36" t="s">
        <v>39</v>
      </c>
      <c r="D103" s="66">
        <f>IF(D9&lt;D12,D12,D9)</f>
        <v>44348</v>
      </c>
      <c r="E103" s="55"/>
      <c r="F103" s="66">
        <f>IF(F9&lt;F12,F12,F9)</f>
        <v>44440</v>
      </c>
    </row>
    <row r="104" spans="2:6" x14ac:dyDescent="0.3">
      <c r="B104" s="39" t="s">
        <v>173</v>
      </c>
      <c r="C104" s="36" t="s">
        <v>39</v>
      </c>
      <c r="D104" s="66">
        <f>IF(D10&lt;D13,D10,D13)</f>
        <v>44481</v>
      </c>
      <c r="E104" s="55"/>
      <c r="F104" s="66">
        <f>IF(F10&lt;F13,F10,F13)</f>
        <v>44481</v>
      </c>
    </row>
    <row r="105" spans="2:6" x14ac:dyDescent="0.3">
      <c r="B105" s="39" t="s">
        <v>176</v>
      </c>
      <c r="C105" s="39" t="s">
        <v>2</v>
      </c>
      <c r="D105" s="55">
        <f>D104-D103</f>
        <v>133</v>
      </c>
      <c r="E105" s="55"/>
      <c r="F105" s="55">
        <f>IF(F104&lt;F103,0,F104-F103)</f>
        <v>41</v>
      </c>
    </row>
    <row r="106" spans="2:6" x14ac:dyDescent="0.3">
      <c r="D106" s="5"/>
      <c r="E106" s="5"/>
      <c r="F106" s="5"/>
    </row>
    <row r="107" spans="2:6" x14ac:dyDescent="0.3">
      <c r="D107" s="5"/>
      <c r="E107" s="5"/>
      <c r="F107" s="5"/>
    </row>
    <row r="108" spans="2:6" x14ac:dyDescent="0.3">
      <c r="B108" s="62" t="s">
        <v>177</v>
      </c>
      <c r="C108" s="62"/>
      <c r="D108" s="99" t="s">
        <v>162</v>
      </c>
      <c r="E108" s="99"/>
      <c r="F108" s="99" t="s">
        <v>163</v>
      </c>
    </row>
    <row r="109" spans="2:6" x14ac:dyDescent="0.3">
      <c r="B109" s="92" t="s">
        <v>181</v>
      </c>
      <c r="C109" s="34"/>
      <c r="D109" s="68">
        <f>D99</f>
        <v>133</v>
      </c>
      <c r="E109" s="68"/>
      <c r="F109" s="68">
        <f>F99</f>
        <v>41</v>
      </c>
    </row>
    <row r="110" spans="2:6" x14ac:dyDescent="0.3">
      <c r="B110" s="93" t="s">
        <v>182</v>
      </c>
      <c r="C110" s="36"/>
      <c r="D110" s="67">
        <f>D109*D28/D11</f>
        <v>9</v>
      </c>
      <c r="E110" s="67"/>
      <c r="F110" s="67">
        <f>F109*F28/F11</f>
        <v>2.774436090225564</v>
      </c>
    </row>
    <row r="111" spans="2:6" x14ac:dyDescent="0.3">
      <c r="B111" s="36" t="s">
        <v>40</v>
      </c>
      <c r="C111" s="36" t="s">
        <v>1</v>
      </c>
      <c r="D111" s="36">
        <v>3.1</v>
      </c>
      <c r="E111" s="36"/>
      <c r="F111" s="36">
        <v>3.1</v>
      </c>
    </row>
    <row r="112" spans="2:6" x14ac:dyDescent="0.3">
      <c r="B112" s="36" t="s">
        <v>41</v>
      </c>
      <c r="C112" s="36" t="s">
        <v>1</v>
      </c>
      <c r="D112" s="36">
        <v>4.2</v>
      </c>
      <c r="E112" s="36"/>
      <c r="F112" s="36">
        <v>4.2</v>
      </c>
    </row>
    <row r="113" spans="2:13" x14ac:dyDescent="0.3">
      <c r="B113" s="36" t="s">
        <v>178</v>
      </c>
      <c r="C113" s="36"/>
      <c r="D113" s="36">
        <v>0</v>
      </c>
      <c r="E113" s="36"/>
      <c r="F113" s="36">
        <f>IF(F101&lt;60,0,IF(F101&lt;90,F101-60,30))</f>
        <v>2</v>
      </c>
    </row>
    <row r="114" spans="2:13" x14ac:dyDescent="0.3">
      <c r="B114" s="36" t="s">
        <v>179</v>
      </c>
      <c r="C114" s="36"/>
      <c r="D114" s="36">
        <v>0</v>
      </c>
      <c r="E114" s="36"/>
      <c r="F114" s="36">
        <f>IF(F101&gt;30,30,F101)</f>
        <v>30</v>
      </c>
    </row>
    <row r="115" spans="2:13" x14ac:dyDescent="0.3">
      <c r="B115" s="36" t="s">
        <v>180</v>
      </c>
      <c r="C115" s="36"/>
      <c r="D115" s="36">
        <f>D100</f>
        <v>0</v>
      </c>
      <c r="E115" s="36"/>
      <c r="F115" s="36">
        <f>F100</f>
        <v>30</v>
      </c>
    </row>
    <row r="116" spans="2:13" x14ac:dyDescent="0.3">
      <c r="B116" s="36" t="s">
        <v>6</v>
      </c>
      <c r="C116" s="36" t="s">
        <v>4</v>
      </c>
      <c r="D116" s="69">
        <f>D110*(383*D112+242*D111+783.2)/3140</f>
        <v>9.0057324840764323</v>
      </c>
      <c r="E116" s="69"/>
      <c r="F116" s="69">
        <f>F110*(383*F112+242*F111+783.2)/3140</f>
        <v>2.7762032469709306</v>
      </c>
    </row>
    <row r="117" spans="2:13" x14ac:dyDescent="0.3">
      <c r="B117" s="36" t="s">
        <v>7</v>
      </c>
      <c r="C117" s="36" t="s">
        <v>3</v>
      </c>
      <c r="D117" s="70">
        <f>POWER(D27,0.75)*0.515</f>
        <v>68.956491681859745</v>
      </c>
      <c r="E117" s="70"/>
      <c r="F117" s="70">
        <f>POWER(F27,0.75)*0.515</f>
        <v>69.333647333747322</v>
      </c>
    </row>
    <row r="118" spans="2:13" x14ac:dyDescent="0.3">
      <c r="B118" s="36" t="s">
        <v>8</v>
      </c>
      <c r="C118" s="36" t="s">
        <v>3</v>
      </c>
      <c r="D118" s="70">
        <f>(5.15*D116)</f>
        <v>46.379522292993627</v>
      </c>
      <c r="E118" s="70"/>
      <c r="F118" s="70">
        <f>(5.15*F116)</f>
        <v>14.297446721900293</v>
      </c>
    </row>
    <row r="119" spans="2:13" x14ac:dyDescent="0.3">
      <c r="B119" s="36" t="s">
        <v>9</v>
      </c>
      <c r="C119" s="36" t="s">
        <v>3</v>
      </c>
      <c r="D119" s="70">
        <f>(D113*11+D114*19+D115*34)/D11</f>
        <v>0</v>
      </c>
      <c r="E119" s="70"/>
      <c r="F119" s="70">
        <f>(F113*11+F114*19+F115*34)/F11</f>
        <v>12.1203007518797</v>
      </c>
    </row>
    <row r="120" spans="2:13" x14ac:dyDescent="0.3">
      <c r="B120" s="36" t="s">
        <v>16</v>
      </c>
      <c r="C120" s="36" t="s">
        <v>3</v>
      </c>
      <c r="D120" s="70">
        <f>SUM(D117:D119)</f>
        <v>115.33601397485337</v>
      </c>
      <c r="E120" s="70"/>
      <c r="F120" s="70">
        <f t="shared" ref="F120" si="1">SUM(F117:F119)</f>
        <v>95.751394807527319</v>
      </c>
    </row>
    <row r="121" spans="2:13" x14ac:dyDescent="0.3">
      <c r="B121" s="36" t="s">
        <v>42</v>
      </c>
      <c r="C121" s="36" t="s">
        <v>3</v>
      </c>
      <c r="D121" s="70">
        <f>D120*D11</f>
        <v>15339.689858655498</v>
      </c>
      <c r="E121" s="70"/>
      <c r="F121" s="70">
        <f>F120*F11</f>
        <v>12734.935509401133</v>
      </c>
    </row>
    <row r="122" spans="2:13" x14ac:dyDescent="0.3">
      <c r="B122" s="1" t="s">
        <v>45</v>
      </c>
      <c r="C122" s="1" t="s">
        <v>46</v>
      </c>
      <c r="D122" s="71">
        <f>D121/D70</f>
        <v>1498.0165877593261</v>
      </c>
      <c r="E122" s="71"/>
      <c r="F122" s="71">
        <f>F121/F70</f>
        <v>1243.6460458399545</v>
      </c>
    </row>
    <row r="124" spans="2:13" x14ac:dyDescent="0.3">
      <c r="K124" t="s">
        <v>24</v>
      </c>
    </row>
    <row r="125" spans="2:13" x14ac:dyDescent="0.3">
      <c r="B125" s="62" t="s">
        <v>183</v>
      </c>
      <c r="C125" s="62"/>
      <c r="D125" s="99" t="s">
        <v>162</v>
      </c>
      <c r="E125" s="99"/>
      <c r="F125" s="99" t="s">
        <v>163</v>
      </c>
      <c r="J125" s="1" t="s">
        <v>17</v>
      </c>
      <c r="K125" s="1" t="s">
        <v>21</v>
      </c>
      <c r="L125" s="1" t="s">
        <v>22</v>
      </c>
      <c r="M125" s="1" t="s">
        <v>23</v>
      </c>
    </row>
    <row r="126" spans="2:13" x14ac:dyDescent="0.3">
      <c r="B126" s="34" t="s">
        <v>25</v>
      </c>
      <c r="C126" s="34" t="s">
        <v>30</v>
      </c>
      <c r="D126" s="72">
        <f>VLOOKUP(D69,Taustalaskenta!$I$126:$L$128,4,1)</f>
        <v>2.5000000000000001E-2</v>
      </c>
      <c r="E126" s="72"/>
      <c r="F126" s="72">
        <f>VLOOKUP(F69,Taustalaskenta!$I$126:$L$128,4,1)</f>
        <v>2.5000000000000001E-2</v>
      </c>
      <c r="I126">
        <v>1</v>
      </c>
      <c r="J126" t="s">
        <v>18</v>
      </c>
      <c r="K126" s="3">
        <v>1.7999999999999999E-2</v>
      </c>
      <c r="L126" s="3">
        <v>2.1999999999999999E-2</v>
      </c>
      <c r="M126" s="3">
        <v>1.2E-2</v>
      </c>
    </row>
    <row r="127" spans="2:13" x14ac:dyDescent="0.3">
      <c r="B127" s="36" t="s">
        <v>26</v>
      </c>
      <c r="C127" s="36" t="s">
        <v>30</v>
      </c>
      <c r="D127" s="73">
        <f>VLOOKUP(D69,Taustalaskenta!$I$126:$K$128,3,1)</f>
        <v>2.1999999999999999E-2</v>
      </c>
      <c r="E127" s="73"/>
      <c r="F127" s="73">
        <f>VLOOKUP(F69,Taustalaskenta!$I$126:$K$128,3,1)</f>
        <v>2.1999999999999999E-2</v>
      </c>
      <c r="I127">
        <v>600</v>
      </c>
      <c r="J127" t="s">
        <v>19</v>
      </c>
      <c r="K127" s="3">
        <v>2.1999999999999999E-2</v>
      </c>
      <c r="L127" s="3">
        <v>2.5000000000000001E-2</v>
      </c>
      <c r="M127" s="3">
        <v>0.02</v>
      </c>
    </row>
    <row r="128" spans="2:13" x14ac:dyDescent="0.3">
      <c r="B128" s="36" t="s">
        <v>27</v>
      </c>
      <c r="C128" s="36" t="s">
        <v>30</v>
      </c>
      <c r="D128" s="73">
        <f>VLOOKUP(D69,Taustalaskenta!$I$126:$M$128,5,1)</f>
        <v>0.02</v>
      </c>
      <c r="E128" s="73"/>
      <c r="F128" s="73">
        <f>VLOOKUP(F69,Taustalaskenta!$I$126:$M$128,5,1)</f>
        <v>0.02</v>
      </c>
      <c r="G128" s="73"/>
      <c r="I128">
        <v>670</v>
      </c>
      <c r="J128" t="s">
        <v>20</v>
      </c>
      <c r="K128" s="3">
        <v>2.5000000000000001E-2</v>
      </c>
      <c r="L128" s="3">
        <v>2.7E-2</v>
      </c>
      <c r="M128" s="3">
        <v>2.3E-2</v>
      </c>
    </row>
    <row r="129" spans="2:6" x14ac:dyDescent="0.3">
      <c r="B129" s="36"/>
      <c r="C129" s="36"/>
      <c r="D129" s="36"/>
      <c r="E129" s="36"/>
      <c r="F129" s="36"/>
    </row>
    <row r="130" spans="2:6" x14ac:dyDescent="0.3">
      <c r="B130" s="36" t="s">
        <v>25</v>
      </c>
      <c r="C130" s="36" t="s">
        <v>28</v>
      </c>
      <c r="D130" s="74">
        <f>IF(K5=2,D27*D126-1.7,D27*D126)</f>
        <v>17.125</v>
      </c>
      <c r="E130" s="74"/>
      <c r="F130" s="74">
        <f>IF(L5=2,F27*F126-1.7,F27*F126)</f>
        <v>17.25</v>
      </c>
    </row>
    <row r="131" spans="2:6" x14ac:dyDescent="0.3">
      <c r="B131" s="36" t="s">
        <v>26</v>
      </c>
      <c r="C131" s="36" t="s">
        <v>28</v>
      </c>
      <c r="D131" s="74">
        <f>IF(K5=2,D27*D127-2,D27*D127)</f>
        <v>15.069999999999999</v>
      </c>
      <c r="E131" s="74"/>
      <c r="F131" s="74">
        <f>IF(L5=2,F27*F127-2,F27*F127)</f>
        <v>15.18</v>
      </c>
    </row>
    <row r="132" spans="2:6" x14ac:dyDescent="0.3">
      <c r="B132" s="36" t="s">
        <v>27</v>
      </c>
      <c r="C132" s="36" t="s">
        <v>28</v>
      </c>
      <c r="D132" s="74">
        <f>D27*D128</f>
        <v>13.700000000000001</v>
      </c>
      <c r="E132" s="74"/>
      <c r="F132" s="74">
        <f>F27*F128</f>
        <v>13.8</v>
      </c>
    </row>
    <row r="133" spans="2:6" x14ac:dyDescent="0.3">
      <c r="B133" s="36"/>
      <c r="C133" s="36"/>
      <c r="D133" s="36"/>
      <c r="E133" s="36"/>
      <c r="F133" s="36"/>
    </row>
    <row r="134" spans="2:6" x14ac:dyDescent="0.3">
      <c r="B134" s="36" t="s">
        <v>25</v>
      </c>
      <c r="C134" s="36" t="s">
        <v>29</v>
      </c>
      <c r="D134" s="70">
        <f>D130*D99</f>
        <v>2277.625</v>
      </c>
      <c r="E134" s="70"/>
      <c r="F134" s="70">
        <f>F130*F99</f>
        <v>707.25</v>
      </c>
    </row>
    <row r="135" spans="2:6" x14ac:dyDescent="0.3">
      <c r="B135" s="36" t="s">
        <v>26</v>
      </c>
      <c r="C135" s="36" t="s">
        <v>29</v>
      </c>
      <c r="D135" s="70">
        <f>D131*D101</f>
        <v>0</v>
      </c>
      <c r="E135" s="70"/>
      <c r="F135" s="70">
        <f>F131*F101</f>
        <v>941.16</v>
      </c>
    </row>
    <row r="136" spans="2:6" x14ac:dyDescent="0.3">
      <c r="B136" s="36" t="s">
        <v>27</v>
      </c>
      <c r="C136" s="36" t="s">
        <v>29</v>
      </c>
      <c r="D136" s="70">
        <f>D132*D100</f>
        <v>0</v>
      </c>
      <c r="E136" s="70"/>
      <c r="F136" s="70">
        <f>F132*F100</f>
        <v>414</v>
      </c>
    </row>
    <row r="137" spans="2:6" x14ac:dyDescent="0.3">
      <c r="B137" s="36" t="s">
        <v>184</v>
      </c>
      <c r="C137" s="36" t="s">
        <v>29</v>
      </c>
      <c r="D137" s="70">
        <f>SUM(D134:D136)</f>
        <v>2277.625</v>
      </c>
      <c r="E137" s="70"/>
      <c r="F137" s="70">
        <f>SUM(F134:F136)</f>
        <v>2062.41</v>
      </c>
    </row>
    <row r="138" spans="2:6" x14ac:dyDescent="0.3">
      <c r="B138" s="36"/>
      <c r="C138" s="36"/>
      <c r="D138" s="70"/>
      <c r="E138" s="70"/>
      <c r="F138" s="70"/>
    </row>
    <row r="139" spans="2:6" x14ac:dyDescent="0.3">
      <c r="B139" s="75" t="s">
        <v>146</v>
      </c>
      <c r="C139" s="75" t="s">
        <v>147</v>
      </c>
      <c r="D139" s="76">
        <f>D137-D122</f>
        <v>779.60841224067394</v>
      </c>
      <c r="E139" s="76"/>
      <c r="F139" s="76">
        <f>F137-F122</f>
        <v>818.76395416004539</v>
      </c>
    </row>
    <row r="140" spans="2:6" x14ac:dyDescent="0.3">
      <c r="B140" s="77" t="s">
        <v>146</v>
      </c>
      <c r="C140" s="77" t="s">
        <v>29</v>
      </c>
      <c r="D140" s="78">
        <f>D139*D18</f>
        <v>46776.504734440437</v>
      </c>
      <c r="E140" s="78"/>
      <c r="F140" s="78">
        <f>F139*F18</f>
        <v>49125.837249602722</v>
      </c>
    </row>
    <row r="143" spans="2:6" x14ac:dyDescent="0.3">
      <c r="B143" s="60" t="s">
        <v>185</v>
      </c>
      <c r="C143" s="60"/>
      <c r="D143" s="60"/>
      <c r="E143" s="60"/>
      <c r="F143" s="60"/>
    </row>
    <row r="144" spans="2:6" x14ac:dyDescent="0.3">
      <c r="B144" t="s">
        <v>84</v>
      </c>
    </row>
    <row r="145" spans="2:7" x14ac:dyDescent="0.3">
      <c r="B145" t="s">
        <v>124</v>
      </c>
      <c r="D145" s="22" t="str">
        <f>CONCATENATE(K5,"+",K6)</f>
        <v>3+2</v>
      </c>
      <c r="E145" s="22"/>
      <c r="F145" s="22" t="str">
        <f>CONCATENATE(L5,"+",L6)</f>
        <v>3+2</v>
      </c>
    </row>
    <row r="146" spans="2:7" x14ac:dyDescent="0.3">
      <c r="B146" s="7" t="s">
        <v>125</v>
      </c>
      <c r="D146" s="8">
        <f>VLOOKUP(D145,C150:F158,2,0)</f>
        <v>0.77500000000000002</v>
      </c>
      <c r="E146" s="8"/>
      <c r="F146" s="8">
        <f>VLOOKUP(F145,C150:F158,2,0)</f>
        <v>0.77500000000000002</v>
      </c>
    </row>
    <row r="147" spans="2:7" x14ac:dyDescent="0.3">
      <c r="B147" s="7" t="s">
        <v>126</v>
      </c>
      <c r="D147" s="8">
        <f>VLOOKUP(D145,C150:F158,4,0)</f>
        <v>1.075</v>
      </c>
      <c r="E147" s="8"/>
      <c r="F147" s="8">
        <f>VLOOKUP(F145,C150:F158,4,0)</f>
        <v>1.075</v>
      </c>
      <c r="G147" s="8"/>
    </row>
    <row r="148" spans="2:7" x14ac:dyDescent="0.3">
      <c r="B148" s="7"/>
      <c r="C148" s="7"/>
      <c r="D148" s="7"/>
      <c r="E148" s="7"/>
      <c r="F148" s="8"/>
      <c r="G148" s="8"/>
    </row>
    <row r="149" spans="2:7" x14ac:dyDescent="0.3">
      <c r="B149" s="7" t="s">
        <v>63</v>
      </c>
      <c r="C149" s="7"/>
      <c r="D149" s="8" t="s">
        <v>64</v>
      </c>
      <c r="E149" s="8"/>
      <c r="F149" s="8" t="s">
        <v>65</v>
      </c>
      <c r="G149" s="7"/>
    </row>
    <row r="150" spans="2:7" x14ac:dyDescent="0.3">
      <c r="B150" s="7" t="s">
        <v>66</v>
      </c>
      <c r="C150" s="7" t="s">
        <v>67</v>
      </c>
      <c r="D150" s="8">
        <v>0.7</v>
      </c>
      <c r="E150" s="8"/>
      <c r="F150" s="8">
        <v>1</v>
      </c>
      <c r="G150" s="7"/>
    </row>
    <row r="151" spans="2:7" x14ac:dyDescent="0.3">
      <c r="B151" s="7" t="s">
        <v>68</v>
      </c>
      <c r="C151" s="7" t="s">
        <v>69</v>
      </c>
      <c r="D151" s="8">
        <v>0.7</v>
      </c>
      <c r="E151" s="8"/>
      <c r="F151" s="8">
        <v>1</v>
      </c>
      <c r="G151" s="7"/>
    </row>
    <row r="152" spans="2:7" x14ac:dyDescent="0.3">
      <c r="B152" s="7" t="s">
        <v>70</v>
      </c>
      <c r="C152" s="7" t="s">
        <v>71</v>
      </c>
      <c r="D152" s="8">
        <v>0.77500000000000002</v>
      </c>
      <c r="E152" s="8"/>
      <c r="F152" s="8">
        <v>1.075</v>
      </c>
      <c r="G152" s="7"/>
    </row>
    <row r="153" spans="2:7" x14ac:dyDescent="0.3">
      <c r="B153" s="7" t="s">
        <v>72</v>
      </c>
      <c r="C153" s="7" t="s">
        <v>73</v>
      </c>
      <c r="D153" s="8">
        <v>0.7</v>
      </c>
      <c r="E153" s="8"/>
      <c r="F153" s="8">
        <v>1</v>
      </c>
      <c r="G153" s="7"/>
    </row>
    <row r="154" spans="2:7" x14ac:dyDescent="0.3">
      <c r="B154" s="7" t="s">
        <v>74</v>
      </c>
      <c r="C154" s="7" t="s">
        <v>75</v>
      </c>
      <c r="D154" s="8">
        <v>0.7</v>
      </c>
      <c r="E154" s="8"/>
      <c r="F154" s="8">
        <v>1</v>
      </c>
      <c r="G154" s="7"/>
    </row>
    <row r="155" spans="2:7" x14ac:dyDescent="0.3">
      <c r="B155" s="7" t="s">
        <v>76</v>
      </c>
      <c r="C155" s="7" t="s">
        <v>77</v>
      </c>
      <c r="D155" s="8">
        <v>0.77500000000000002</v>
      </c>
      <c r="E155" s="8"/>
      <c r="F155" s="8">
        <v>1.075</v>
      </c>
      <c r="G155" s="7"/>
    </row>
    <row r="156" spans="2:7" x14ac:dyDescent="0.3">
      <c r="B156" s="7" t="s">
        <v>78</v>
      </c>
      <c r="C156" s="7" t="s">
        <v>79</v>
      </c>
      <c r="D156" s="8">
        <v>0.77500000000000002</v>
      </c>
      <c r="E156" s="8"/>
      <c r="F156" s="8">
        <v>1.075</v>
      </c>
      <c r="G156" s="7"/>
    </row>
    <row r="157" spans="2:7" x14ac:dyDescent="0.3">
      <c r="B157" s="7" t="s">
        <v>80</v>
      </c>
      <c r="C157" s="7" t="s">
        <v>81</v>
      </c>
      <c r="D157" s="8">
        <v>0.77500000000000002</v>
      </c>
      <c r="E157" s="8"/>
      <c r="F157" s="8">
        <v>1.075</v>
      </c>
      <c r="G157" s="7"/>
    </row>
    <row r="158" spans="2:7" x14ac:dyDescent="0.3">
      <c r="B158" s="7" t="s">
        <v>82</v>
      </c>
      <c r="C158" s="7" t="s">
        <v>83</v>
      </c>
      <c r="D158" s="8">
        <v>0.85</v>
      </c>
      <c r="E158" s="8"/>
      <c r="F158" s="8">
        <v>1.1499999999999999</v>
      </c>
      <c r="G158" s="7"/>
    </row>
    <row r="160" spans="2:7" x14ac:dyDescent="0.3">
      <c r="B160" s="20" t="s">
        <v>99</v>
      </c>
      <c r="C160" s="20"/>
      <c r="D160" s="20"/>
      <c r="E160" s="20"/>
      <c r="F160" s="20"/>
    </row>
    <row r="161" spans="2:7" x14ac:dyDescent="0.3">
      <c r="B161" s="7" t="s">
        <v>60</v>
      </c>
      <c r="C161" s="20"/>
      <c r="D161" s="20">
        <v>1100</v>
      </c>
      <c r="E161" s="20"/>
      <c r="F161" s="20"/>
    </row>
    <row r="162" spans="2:7" x14ac:dyDescent="0.3">
      <c r="B162" s="7" t="s">
        <v>61</v>
      </c>
      <c r="C162" s="20"/>
      <c r="D162" s="20">
        <v>1000</v>
      </c>
      <c r="E162" s="20"/>
      <c r="F162" s="20"/>
    </row>
    <row r="163" spans="2:7" x14ac:dyDescent="0.3">
      <c r="B163" s="7" t="s">
        <v>62</v>
      </c>
      <c r="C163" s="20"/>
      <c r="D163" s="20">
        <v>950</v>
      </c>
      <c r="E163" s="20"/>
      <c r="F163" s="20"/>
    </row>
    <row r="164" spans="2:7" x14ac:dyDescent="0.3">
      <c r="B164" s="7"/>
      <c r="C164" s="20"/>
      <c r="D164" s="20"/>
      <c r="E164" s="20"/>
      <c r="F164" s="20"/>
      <c r="G164" s="97"/>
    </row>
    <row r="165" spans="2:7" x14ac:dyDescent="0.3">
      <c r="B165" s="20" t="s">
        <v>96</v>
      </c>
      <c r="C165" s="20"/>
      <c r="D165" s="20" t="s">
        <v>97</v>
      </c>
      <c r="E165" s="20"/>
      <c r="F165" s="20" t="s">
        <v>98</v>
      </c>
      <c r="G165" s="97"/>
    </row>
    <row r="166" spans="2:7" x14ac:dyDescent="0.3">
      <c r="B166" s="7" t="s">
        <v>60</v>
      </c>
      <c r="C166" s="20"/>
      <c r="D166" s="20">
        <v>47</v>
      </c>
      <c r="E166" s="20"/>
      <c r="F166" s="20">
        <v>44</v>
      </c>
      <c r="G166" s="97"/>
    </row>
    <row r="167" spans="2:7" x14ac:dyDescent="0.3">
      <c r="B167" s="7" t="s">
        <v>61</v>
      </c>
      <c r="C167" s="20"/>
      <c r="D167" s="20">
        <v>44</v>
      </c>
      <c r="E167" s="20"/>
      <c r="F167" s="20">
        <v>41</v>
      </c>
      <c r="G167" s="97"/>
    </row>
    <row r="168" spans="2:7" x14ac:dyDescent="0.3">
      <c r="B168" s="7" t="s">
        <v>62</v>
      </c>
      <c r="C168" s="20"/>
      <c r="D168" s="20">
        <v>41</v>
      </c>
      <c r="E168" s="20"/>
      <c r="F168" s="20">
        <v>38</v>
      </c>
      <c r="G168" s="97"/>
    </row>
    <row r="169" spans="2:7" x14ac:dyDescent="0.3">
      <c r="B169" s="18"/>
      <c r="C169" s="17"/>
      <c r="E169" s="17"/>
      <c r="F169" s="17"/>
      <c r="G169" s="97"/>
    </row>
    <row r="170" spans="2:7" x14ac:dyDescent="0.3">
      <c r="B170" s="60" t="s">
        <v>186</v>
      </c>
      <c r="C170" s="60"/>
      <c r="D170" s="99" t="s">
        <v>162</v>
      </c>
      <c r="E170" s="99"/>
      <c r="F170" s="99" t="s">
        <v>163</v>
      </c>
    </row>
    <row r="171" spans="2:7" x14ac:dyDescent="0.3">
      <c r="B171" s="7" t="s">
        <v>100</v>
      </c>
      <c r="C171" s="10" t="s">
        <v>85</v>
      </c>
      <c r="D171" s="91">
        <f>D103-D12+(D105/2)</f>
        <v>123.5</v>
      </c>
      <c r="E171" s="21"/>
      <c r="F171" s="21">
        <f>IF(F98&lt;0,0,F98-(F105/2))</f>
        <v>20.5</v>
      </c>
    </row>
    <row r="172" spans="2:7" x14ac:dyDescent="0.3">
      <c r="B172" s="7" t="s">
        <v>101</v>
      </c>
      <c r="C172" s="10" t="s">
        <v>85</v>
      </c>
      <c r="D172" s="21">
        <f>D171+365</f>
        <v>488.5</v>
      </c>
      <c r="E172" s="21"/>
      <c r="F172" s="21">
        <f>F9-(F12-365)+F11/2</f>
        <v>339.5</v>
      </c>
    </row>
    <row r="173" spans="2:7" x14ac:dyDescent="0.3">
      <c r="B173" s="7" t="s">
        <v>86</v>
      </c>
      <c r="C173" s="10" t="s">
        <v>0</v>
      </c>
      <c r="D173" s="7">
        <f>VLOOKUP(D26,B166:D168,3,0)</f>
        <v>44</v>
      </c>
      <c r="E173" s="7"/>
      <c r="F173" s="22">
        <f>VLOOKUP(F26,B166:D168,3,0)</f>
        <v>44</v>
      </c>
    </row>
    <row r="174" spans="2:7" x14ac:dyDescent="0.3">
      <c r="B174" s="7" t="s">
        <v>87</v>
      </c>
      <c r="C174" s="7" t="s">
        <v>0</v>
      </c>
      <c r="D174" s="7">
        <f>VLOOKUP(D26,B166:F168,5,0)</f>
        <v>41</v>
      </c>
      <c r="E174" s="7"/>
      <c r="F174" s="7">
        <f>VLOOKUP(F26,B166:F168,5,0)</f>
        <v>41</v>
      </c>
    </row>
    <row r="175" spans="2:7" x14ac:dyDescent="0.3">
      <c r="B175" s="94" t="s">
        <v>90</v>
      </c>
      <c r="C175" s="14" t="s">
        <v>88</v>
      </c>
      <c r="D175" s="15">
        <f>D173+D171*D179</f>
        <v>198.375</v>
      </c>
      <c r="E175" s="15"/>
      <c r="F175" s="15">
        <f>F173+F171*F179</f>
        <v>69.625</v>
      </c>
    </row>
    <row r="176" spans="2:7" x14ac:dyDescent="0.3">
      <c r="B176" s="94" t="s">
        <v>91</v>
      </c>
      <c r="C176" s="14" t="s">
        <v>88</v>
      </c>
      <c r="D176" s="15">
        <f>D174+D171*D180</f>
        <v>170.67500000000001</v>
      </c>
      <c r="E176" s="15"/>
      <c r="F176" s="15">
        <f>F174+F171*F180</f>
        <v>62.525000000000006</v>
      </c>
    </row>
    <row r="177" spans="2:6" x14ac:dyDescent="0.3">
      <c r="B177" s="11" t="s">
        <v>92</v>
      </c>
      <c r="C177" s="13" t="s">
        <v>88</v>
      </c>
      <c r="D177" s="25">
        <f>D33+(D172-D15)*D181</f>
        <v>449.45</v>
      </c>
      <c r="E177" s="25"/>
      <c r="F177" s="25">
        <f>F33+(F172-F15)*F181</f>
        <v>342</v>
      </c>
    </row>
    <row r="178" spans="2:6" x14ac:dyDescent="0.3">
      <c r="B178" s="11" t="s">
        <v>93</v>
      </c>
      <c r="C178" s="13" t="s">
        <v>88</v>
      </c>
      <c r="D178" s="87">
        <v>880</v>
      </c>
      <c r="E178" s="11"/>
      <c r="F178" s="90">
        <v>880</v>
      </c>
    </row>
    <row r="179" spans="2:6" x14ac:dyDescent="0.3">
      <c r="B179" s="11" t="s">
        <v>102</v>
      </c>
      <c r="C179" s="13" t="s">
        <v>88</v>
      </c>
      <c r="D179" s="11">
        <f>D29/1000</f>
        <v>1.25</v>
      </c>
      <c r="E179" s="11"/>
      <c r="F179" s="11">
        <f>F29/1000</f>
        <v>1.25</v>
      </c>
    </row>
    <row r="180" spans="2:6" x14ac:dyDescent="0.3">
      <c r="B180" s="11" t="s">
        <v>103</v>
      </c>
      <c r="C180" s="13" t="s">
        <v>88</v>
      </c>
      <c r="D180" s="11">
        <f>D30/1000</f>
        <v>1.05</v>
      </c>
      <c r="E180" s="11"/>
      <c r="F180" s="11">
        <f>F30/1000</f>
        <v>1.05</v>
      </c>
    </row>
    <row r="181" spans="2:6" x14ac:dyDescent="0.3">
      <c r="B181" s="11" t="s">
        <v>94</v>
      </c>
      <c r="C181" s="13" t="s">
        <v>88</v>
      </c>
      <c r="D181" s="88">
        <v>0.7</v>
      </c>
      <c r="E181" s="23"/>
      <c r="F181" s="88">
        <v>0.7</v>
      </c>
    </row>
    <row r="182" spans="2:6" x14ac:dyDescent="0.3">
      <c r="B182" s="95" t="s">
        <v>95</v>
      </c>
      <c r="C182" s="16" t="s">
        <v>88</v>
      </c>
      <c r="D182" s="89">
        <v>0.3</v>
      </c>
      <c r="E182" s="24"/>
      <c r="F182" s="89">
        <v>0.3</v>
      </c>
    </row>
    <row r="185" spans="2:6" x14ac:dyDescent="0.3">
      <c r="B185" s="60" t="s">
        <v>104</v>
      </c>
      <c r="C185" s="60" t="s">
        <v>105</v>
      </c>
      <c r="D185" s="99" t="s">
        <v>162</v>
      </c>
      <c r="E185" s="99"/>
      <c r="F185" s="99" t="s">
        <v>163</v>
      </c>
    </row>
    <row r="186" spans="2:6" x14ac:dyDescent="0.3">
      <c r="B186" s="96" t="s">
        <v>106</v>
      </c>
      <c r="C186" s="28"/>
      <c r="D186" s="27"/>
      <c r="E186" s="27"/>
      <c r="F186" s="29"/>
    </row>
    <row r="187" spans="2:6" x14ac:dyDescent="0.3">
      <c r="B187" s="11" t="s">
        <v>107</v>
      </c>
      <c r="C187" s="13"/>
      <c r="D187" s="23">
        <v>0.6</v>
      </c>
      <c r="E187" s="23"/>
      <c r="F187" s="23">
        <v>0.6</v>
      </c>
    </row>
    <row r="188" spans="2:6" x14ac:dyDescent="0.3">
      <c r="B188" s="11" t="s">
        <v>108</v>
      </c>
      <c r="C188" s="13"/>
      <c r="D188" s="23">
        <f>0.35*D187+0.503</f>
        <v>0.71299999999999997</v>
      </c>
      <c r="E188" s="23"/>
      <c r="F188" s="23">
        <f>0.35*F187+0.503</f>
        <v>0.71299999999999997</v>
      </c>
    </row>
    <row r="189" spans="2:6" x14ac:dyDescent="0.3">
      <c r="B189" s="11" t="s">
        <v>109</v>
      </c>
      <c r="C189" s="13"/>
      <c r="D189" s="23">
        <f>0.78*D187+0.006</f>
        <v>0.47399999999999998</v>
      </c>
      <c r="E189" s="23"/>
      <c r="F189" s="23">
        <f>0.78*F187+0.006</f>
        <v>0.47399999999999998</v>
      </c>
    </row>
    <row r="190" spans="2:6" x14ac:dyDescent="0.3">
      <c r="B190" s="11" t="s">
        <v>110</v>
      </c>
      <c r="C190" s="13"/>
      <c r="D190" s="30">
        <f>D147</f>
        <v>1.075</v>
      </c>
      <c r="E190" s="30"/>
      <c r="F190" s="30">
        <f>F147</f>
        <v>1.075</v>
      </c>
    </row>
    <row r="191" spans="2:6" x14ac:dyDescent="0.3">
      <c r="B191" s="11" t="s">
        <v>111</v>
      </c>
      <c r="C191" s="13"/>
      <c r="D191" s="30">
        <v>1</v>
      </c>
      <c r="E191" s="30"/>
      <c r="F191" s="30">
        <v>1</v>
      </c>
    </row>
    <row r="192" spans="2:6" x14ac:dyDescent="0.3">
      <c r="B192" s="11" t="s">
        <v>112</v>
      </c>
      <c r="C192" s="13" t="s">
        <v>113</v>
      </c>
      <c r="D192" s="23">
        <f>D181</f>
        <v>0.7</v>
      </c>
      <c r="E192" s="23"/>
      <c r="F192" s="23">
        <f>F181</f>
        <v>0.7</v>
      </c>
    </row>
    <row r="193" spans="2:6" x14ac:dyDescent="0.3">
      <c r="B193" s="11" t="s">
        <v>114</v>
      </c>
      <c r="C193" s="13" t="s">
        <v>88</v>
      </c>
      <c r="D193" s="12">
        <f>D177</f>
        <v>449.45</v>
      </c>
      <c r="E193" s="12"/>
      <c r="F193" s="12">
        <f>F177</f>
        <v>342</v>
      </c>
    </row>
    <row r="194" spans="2:6" x14ac:dyDescent="0.3">
      <c r="B194" s="11" t="s">
        <v>115</v>
      </c>
      <c r="C194" s="13" t="s">
        <v>3</v>
      </c>
      <c r="D194" s="23">
        <f xml:space="preserve"> ((4.1+0.0332*D193-0.000009*D193*D193)/(1-0.1475*D192))*D192*D190</f>
        <v>14.436329455052965</v>
      </c>
      <c r="E194" s="23"/>
      <c r="F194" s="23">
        <f xml:space="preserve"> ((4.1+0.0332*F193-0.000009*F193*F193)/(1-0.1475*F192))*F192*F190</f>
        <v>12.085082029551154</v>
      </c>
    </row>
    <row r="195" spans="2:6" x14ac:dyDescent="0.3">
      <c r="B195" s="11" t="s">
        <v>116</v>
      </c>
      <c r="C195" s="13" t="s">
        <v>3</v>
      </c>
      <c r="D195" s="23">
        <f>0.53*EXP(0.67*LN((D193/1.08)))*D191+0.0071*D193</f>
        <v>33.333540282866743</v>
      </c>
      <c r="E195" s="23"/>
      <c r="F195" s="23">
        <f>0.53*EXP(0.67*LN((F193/1.08)))*F191+0.0071*F193</f>
        <v>27.528530762374839</v>
      </c>
    </row>
    <row r="196" spans="2:6" x14ac:dyDescent="0.3">
      <c r="B196" s="11" t="s">
        <v>117</v>
      </c>
      <c r="C196" s="13" t="s">
        <v>120</v>
      </c>
      <c r="D196" s="23">
        <f xml:space="preserve"> D195/(D188*LN(D188/D189))*LN((D188/(D188-D189))/(D188/(D188-D189)-D194/D195-1))</f>
        <v>74.963297401633184</v>
      </c>
      <c r="E196" s="23"/>
      <c r="F196" s="23">
        <f xml:space="preserve"> F195/(F188*LN(F188/F189))*LN((F188/(F188-F189))/(F188/(F188-F189)-F194/F195-1))</f>
        <v>62.270021951352959</v>
      </c>
    </row>
    <row r="197" spans="2:6" x14ac:dyDescent="0.3">
      <c r="B197" s="7"/>
      <c r="C197" s="7"/>
      <c r="D197" s="26"/>
      <c r="E197" s="26"/>
      <c r="F197" s="26"/>
    </row>
    <row r="198" spans="2:6" x14ac:dyDescent="0.3">
      <c r="B198" s="86" t="s">
        <v>104</v>
      </c>
      <c r="C198" s="86" t="s">
        <v>121</v>
      </c>
      <c r="D198" s="99" t="s">
        <v>162</v>
      </c>
      <c r="E198" s="99"/>
      <c r="F198" s="99" t="s">
        <v>163</v>
      </c>
    </row>
    <row r="199" spans="2:6" x14ac:dyDescent="0.3">
      <c r="B199" s="96" t="s">
        <v>106</v>
      </c>
      <c r="C199" s="28"/>
      <c r="D199" s="27"/>
      <c r="E199" s="27"/>
      <c r="F199" s="29"/>
    </row>
    <row r="200" spans="2:6" x14ac:dyDescent="0.3">
      <c r="B200" s="11" t="s">
        <v>107</v>
      </c>
      <c r="C200" s="13"/>
      <c r="D200" s="23">
        <v>0.6</v>
      </c>
      <c r="E200" s="23"/>
      <c r="F200" s="23">
        <v>0.6</v>
      </c>
    </row>
    <row r="201" spans="2:6" x14ac:dyDescent="0.3">
      <c r="B201" s="11" t="s">
        <v>108</v>
      </c>
      <c r="C201" s="13"/>
      <c r="D201" s="23">
        <f>0.35*D200+0.503</f>
        <v>0.71299999999999997</v>
      </c>
      <c r="E201" s="23"/>
      <c r="F201" s="23">
        <f>0.35*F200+0.503</f>
        <v>0.71299999999999997</v>
      </c>
    </row>
    <row r="202" spans="2:6" x14ac:dyDescent="0.3">
      <c r="B202" s="11" t="s">
        <v>109</v>
      </c>
      <c r="C202" s="13"/>
      <c r="D202" s="23">
        <f>0.78*D200+0.006</f>
        <v>0.47399999999999998</v>
      </c>
      <c r="E202" s="23"/>
      <c r="F202" s="23">
        <f>0.78*F200+0.006</f>
        <v>0.47399999999999998</v>
      </c>
    </row>
    <row r="203" spans="2:6" x14ac:dyDescent="0.3">
      <c r="B203" s="11" t="s">
        <v>110</v>
      </c>
      <c r="C203" s="13"/>
      <c r="D203" s="30">
        <f>D146</f>
        <v>0.77500000000000002</v>
      </c>
      <c r="E203" s="30"/>
      <c r="F203" s="30">
        <f>F146</f>
        <v>0.77500000000000002</v>
      </c>
    </row>
    <row r="204" spans="2:6" x14ac:dyDescent="0.3">
      <c r="B204" s="11" t="s">
        <v>111</v>
      </c>
      <c r="C204" s="13"/>
      <c r="D204" s="30">
        <v>1.1499999999999999</v>
      </c>
      <c r="E204" s="30"/>
      <c r="F204" s="30">
        <v>1.1499999999999999</v>
      </c>
    </row>
    <row r="205" spans="2:6" x14ac:dyDescent="0.3">
      <c r="B205" s="11" t="s">
        <v>112</v>
      </c>
      <c r="C205" s="13" t="s">
        <v>113</v>
      </c>
      <c r="D205" s="23">
        <f>D182</f>
        <v>0.3</v>
      </c>
      <c r="E205" s="23"/>
      <c r="F205" s="23">
        <f>F182</f>
        <v>0.3</v>
      </c>
    </row>
    <row r="206" spans="2:6" x14ac:dyDescent="0.3">
      <c r="B206" s="11" t="s">
        <v>114</v>
      </c>
      <c r="C206" s="13" t="s">
        <v>88</v>
      </c>
      <c r="D206" s="12">
        <f>D178</f>
        <v>880</v>
      </c>
      <c r="E206" s="12"/>
      <c r="F206" s="12">
        <f>F178</f>
        <v>880</v>
      </c>
    </row>
    <row r="207" spans="2:6" x14ac:dyDescent="0.3">
      <c r="B207" s="11" t="s">
        <v>115</v>
      </c>
      <c r="C207" s="13" t="s">
        <v>3</v>
      </c>
      <c r="D207" s="23">
        <f xml:space="preserve"> ((4.1+0.0332*D206-0.000009*D206*D206)/(1-0.1475*D205))*D205*D203</f>
        <v>6.4091425582003669</v>
      </c>
      <c r="E207" s="23"/>
      <c r="F207" s="23">
        <f xml:space="preserve"> ((4.1+0.0332*F206-0.000009*F206*F206)/(1-0.1475*F205))*F205*F203</f>
        <v>6.4091425582003669</v>
      </c>
    </row>
    <row r="208" spans="2:6" x14ac:dyDescent="0.3">
      <c r="B208" s="11" t="s">
        <v>116</v>
      </c>
      <c r="C208" s="13" t="s">
        <v>3</v>
      </c>
      <c r="D208" s="23">
        <f>0.53*EXP(0.67*LN((D206/1.08)))*D204+0.0071*D206</f>
        <v>60.620986040343013</v>
      </c>
      <c r="E208" s="23"/>
      <c r="F208" s="23">
        <f>0.53*EXP(0.67*LN((F206/1.08)))*F204+0.0071*F206</f>
        <v>60.620986040343013</v>
      </c>
    </row>
    <row r="209" spans="2:6" x14ac:dyDescent="0.3">
      <c r="B209" s="11" t="s">
        <v>117</v>
      </c>
      <c r="C209" s="13" t="s">
        <v>3</v>
      </c>
      <c r="D209" s="23">
        <f xml:space="preserve"> D208/(D201*LN(D201/D202))*LN((D201/(D201-D202))/(D201/(D201-D202)-D207/D208-1))</f>
        <v>96.430685520553141</v>
      </c>
      <c r="E209" s="23"/>
      <c r="F209" s="23">
        <f xml:space="preserve"> F208/(F201*LN(F201/F202))*LN((F201/(F201-F202))/(F201/(F201-F202)-F207/F208-1))</f>
        <v>96.430685520553141</v>
      </c>
    </row>
    <row r="210" spans="2:6" x14ac:dyDescent="0.3">
      <c r="B210" s="7" t="s">
        <v>118</v>
      </c>
      <c r="C210" s="13" t="s">
        <v>1</v>
      </c>
      <c r="D210" s="31">
        <v>10</v>
      </c>
      <c r="E210" s="31"/>
      <c r="F210" s="31">
        <v>10</v>
      </c>
    </row>
    <row r="211" spans="2:6" x14ac:dyDescent="0.3">
      <c r="B211" s="95" t="s">
        <v>119</v>
      </c>
      <c r="C211" s="16" t="s">
        <v>120</v>
      </c>
      <c r="D211" s="32">
        <f>D209*(1+D210/100)</f>
        <v>106.07375407260847</v>
      </c>
      <c r="E211" s="32"/>
      <c r="F211" s="32">
        <f>F209*(1+F210/100)</f>
        <v>106.07375407260847</v>
      </c>
    </row>
    <row r="212" spans="2:6" x14ac:dyDescent="0.3">
      <c r="B212" s="7"/>
      <c r="C212" s="7"/>
      <c r="D212" s="26"/>
      <c r="E212" s="26"/>
      <c r="F212" s="26"/>
    </row>
    <row r="213" spans="2:6" x14ac:dyDescent="0.3">
      <c r="B213" s="86" t="s">
        <v>104</v>
      </c>
      <c r="C213" s="86" t="s">
        <v>122</v>
      </c>
      <c r="D213" s="99" t="s">
        <v>162</v>
      </c>
      <c r="E213" s="99"/>
      <c r="F213" s="99" t="s">
        <v>163</v>
      </c>
    </row>
    <row r="214" spans="2:6" x14ac:dyDescent="0.3">
      <c r="B214" s="96" t="s">
        <v>106</v>
      </c>
      <c r="C214" s="28"/>
      <c r="D214" s="27"/>
      <c r="E214" s="27"/>
      <c r="F214" s="29"/>
    </row>
    <row r="215" spans="2:6" x14ac:dyDescent="0.3">
      <c r="B215" s="11" t="s">
        <v>107</v>
      </c>
      <c r="C215" s="13"/>
      <c r="D215" s="23">
        <v>0.6</v>
      </c>
      <c r="E215" s="23"/>
      <c r="F215" s="23">
        <v>0.6</v>
      </c>
    </row>
    <row r="216" spans="2:6" x14ac:dyDescent="0.3">
      <c r="B216" s="11" t="s">
        <v>108</v>
      </c>
      <c r="C216" s="13"/>
      <c r="D216" s="23">
        <f>0.35*D215+0.503</f>
        <v>0.71299999999999997</v>
      </c>
      <c r="E216" s="23"/>
      <c r="F216" s="23">
        <f>0.35*F215+0.503</f>
        <v>0.71299999999999997</v>
      </c>
    </row>
    <row r="217" spans="2:6" x14ac:dyDescent="0.3">
      <c r="B217" s="11" t="s">
        <v>109</v>
      </c>
      <c r="C217" s="13"/>
      <c r="D217" s="23">
        <f>0.78*D215+0.006</f>
        <v>0.47399999999999998</v>
      </c>
      <c r="E217" s="23"/>
      <c r="F217" s="23">
        <f>0.78*F215+0.006</f>
        <v>0.47399999999999998</v>
      </c>
    </row>
    <row r="218" spans="2:6" x14ac:dyDescent="0.3">
      <c r="B218" s="11" t="s">
        <v>110</v>
      </c>
      <c r="C218" s="13"/>
      <c r="D218" s="30">
        <f>D146</f>
        <v>0.77500000000000002</v>
      </c>
      <c r="E218" s="30"/>
      <c r="F218" s="30">
        <f>F146</f>
        <v>0.77500000000000002</v>
      </c>
    </row>
    <row r="219" spans="2:6" x14ac:dyDescent="0.3">
      <c r="B219" s="11" t="s">
        <v>111</v>
      </c>
      <c r="C219" s="13"/>
      <c r="D219" s="30">
        <v>1.1499999999999999</v>
      </c>
      <c r="E219" s="30"/>
      <c r="F219" s="30">
        <v>1.1499999999999999</v>
      </c>
    </row>
    <row r="220" spans="2:6" x14ac:dyDescent="0.3">
      <c r="B220" s="11" t="s">
        <v>112</v>
      </c>
      <c r="C220" s="13" t="s">
        <v>113</v>
      </c>
      <c r="D220" s="23">
        <f>D179</f>
        <v>1.25</v>
      </c>
      <c r="E220" s="23"/>
      <c r="F220" s="23">
        <f>F179</f>
        <v>1.25</v>
      </c>
    </row>
    <row r="221" spans="2:6" x14ac:dyDescent="0.3">
      <c r="B221" s="11" t="s">
        <v>114</v>
      </c>
      <c r="C221" s="13" t="s">
        <v>88</v>
      </c>
      <c r="D221" s="12">
        <f>D175</f>
        <v>198.375</v>
      </c>
      <c r="E221" s="12"/>
      <c r="F221" s="12">
        <f>F175</f>
        <v>69.625</v>
      </c>
    </row>
    <row r="222" spans="2:6" x14ac:dyDescent="0.3">
      <c r="B222" s="11" t="s">
        <v>115</v>
      </c>
      <c r="C222" s="13" t="s">
        <v>3</v>
      </c>
      <c r="D222" s="23">
        <f xml:space="preserve"> ((4.1+0.0332*D221-0.000009*D221*D221)/(1-0.1475*D220))*D220*D218</f>
        <v>12.271577136613985</v>
      </c>
      <c r="E222" s="23"/>
      <c r="F222" s="23">
        <f xml:space="preserve"> ((4.1+0.0332*F221-0.000009*F221*F221)/(1-0.1475*F220))*F220*F218</f>
        <v>7.5634313511733717</v>
      </c>
    </row>
    <row r="223" spans="2:6" x14ac:dyDescent="0.3">
      <c r="B223" s="11" t="s">
        <v>116</v>
      </c>
      <c r="C223" s="13" t="s">
        <v>3</v>
      </c>
      <c r="D223" s="23">
        <f>0.53*EXP(0.67*LN((D221/1.08)))*D219+0.0071*D221</f>
        <v>21.448385265758841</v>
      </c>
      <c r="E223" s="23"/>
      <c r="F223" s="23">
        <f>0.53*EXP(0.67*LN((F221/1.08)))*F219+0.0071*F221</f>
        <v>10.430815681631858</v>
      </c>
    </row>
    <row r="224" spans="2:6" x14ac:dyDescent="0.3">
      <c r="B224" s="11" t="s">
        <v>117</v>
      </c>
      <c r="C224" s="13" t="s">
        <v>3</v>
      </c>
      <c r="D224" s="23">
        <f xml:space="preserve"> D223/(D216*LN(D216/D217))*LN((D216/(D216-D217))/(D216/(D216-D217)-D222/D223-1))</f>
        <v>55.159875638709238</v>
      </c>
      <c r="E224" s="23"/>
      <c r="F224" s="23">
        <f xml:space="preserve"> F223/(F216*LN(F216/F217))*LN((F216/(F216-F217))/(F216/(F216-F217)-F222/F223-1))</f>
        <v>30.936628649051023</v>
      </c>
    </row>
    <row r="225" spans="2:6" x14ac:dyDescent="0.3">
      <c r="B225" s="7" t="s">
        <v>118</v>
      </c>
      <c r="C225" s="13" t="s">
        <v>1</v>
      </c>
      <c r="D225" s="31">
        <v>10</v>
      </c>
      <c r="E225" s="31"/>
      <c r="F225" s="31">
        <v>10</v>
      </c>
    </row>
    <row r="226" spans="2:6" x14ac:dyDescent="0.3">
      <c r="B226" s="95" t="s">
        <v>119</v>
      </c>
      <c r="C226" s="16" t="s">
        <v>120</v>
      </c>
      <c r="D226" s="32">
        <f>D224*(1+D225/100)</f>
        <v>60.675863202580167</v>
      </c>
      <c r="E226" s="32"/>
      <c r="F226" s="32">
        <f>F224*(1+F225/100)</f>
        <v>34.030291513956129</v>
      </c>
    </row>
    <row r="227" spans="2:6" x14ac:dyDescent="0.3">
      <c r="B227" s="7"/>
      <c r="C227" s="7"/>
      <c r="D227" s="26"/>
      <c r="E227" s="26"/>
      <c r="F227" s="26"/>
    </row>
    <row r="228" spans="2:6" x14ac:dyDescent="0.3">
      <c r="B228" s="86" t="s">
        <v>104</v>
      </c>
      <c r="C228" s="86" t="s">
        <v>123</v>
      </c>
      <c r="D228" s="99" t="s">
        <v>162</v>
      </c>
      <c r="E228" s="99"/>
      <c r="F228" s="99" t="s">
        <v>163</v>
      </c>
    </row>
    <row r="229" spans="2:6" x14ac:dyDescent="0.3">
      <c r="B229" s="96" t="s">
        <v>106</v>
      </c>
      <c r="C229" s="28"/>
      <c r="D229" s="27"/>
      <c r="E229" s="27"/>
      <c r="F229" s="29"/>
    </row>
    <row r="230" spans="2:6" x14ac:dyDescent="0.3">
      <c r="B230" s="11" t="s">
        <v>107</v>
      </c>
      <c r="C230" s="13"/>
      <c r="D230" s="23">
        <v>0.6</v>
      </c>
      <c r="E230" s="23"/>
      <c r="F230" s="23">
        <v>0.6</v>
      </c>
    </row>
    <row r="231" spans="2:6" x14ac:dyDescent="0.3">
      <c r="B231" s="11" t="s">
        <v>108</v>
      </c>
      <c r="C231" s="13"/>
      <c r="D231" s="23">
        <f>0.35*D230+0.503</f>
        <v>0.71299999999999997</v>
      </c>
      <c r="E231" s="23"/>
      <c r="F231" s="23">
        <f>0.35*F230+0.503</f>
        <v>0.71299999999999997</v>
      </c>
    </row>
    <row r="232" spans="2:6" x14ac:dyDescent="0.3">
      <c r="B232" s="11" t="s">
        <v>109</v>
      </c>
      <c r="C232" s="13"/>
      <c r="D232" s="23">
        <f>0.78*D230+0.006</f>
        <v>0.47399999999999998</v>
      </c>
      <c r="E232" s="23"/>
      <c r="F232" s="23">
        <f>0.78*F230+0.006</f>
        <v>0.47399999999999998</v>
      </c>
    </row>
    <row r="233" spans="2:6" x14ac:dyDescent="0.3">
      <c r="B233" s="11" t="s">
        <v>110</v>
      </c>
      <c r="C233" s="13"/>
      <c r="D233" s="30">
        <f>D147</f>
        <v>1.075</v>
      </c>
      <c r="E233" s="30"/>
      <c r="F233" s="30">
        <f>F147</f>
        <v>1.075</v>
      </c>
    </row>
    <row r="234" spans="2:6" x14ac:dyDescent="0.3">
      <c r="B234" s="11" t="s">
        <v>111</v>
      </c>
      <c r="C234" s="13"/>
      <c r="D234" s="30">
        <v>1</v>
      </c>
      <c r="E234" s="30"/>
      <c r="F234" s="30">
        <v>1</v>
      </c>
    </row>
    <row r="235" spans="2:6" x14ac:dyDescent="0.3">
      <c r="B235" s="11" t="s">
        <v>112</v>
      </c>
      <c r="C235" s="13" t="s">
        <v>113</v>
      </c>
      <c r="D235" s="23">
        <f>D180</f>
        <v>1.05</v>
      </c>
      <c r="E235" s="23"/>
      <c r="F235" s="23">
        <f>F180</f>
        <v>1.05</v>
      </c>
    </row>
    <row r="236" spans="2:6" x14ac:dyDescent="0.3">
      <c r="B236" s="11" t="s">
        <v>114</v>
      </c>
      <c r="C236" s="13" t="s">
        <v>88</v>
      </c>
      <c r="D236" s="12">
        <f>D176</f>
        <v>170.67500000000001</v>
      </c>
      <c r="E236" s="12"/>
      <c r="F236" s="12">
        <f>F176</f>
        <v>62.525000000000006</v>
      </c>
    </row>
    <row r="237" spans="2:6" x14ac:dyDescent="0.3">
      <c r="B237" s="11" t="s">
        <v>115</v>
      </c>
      <c r="C237" s="13" t="s">
        <v>3</v>
      </c>
      <c r="D237" s="23">
        <f xml:space="preserve"> ((4.1+0.0332*D236-0.000009*D236*D236)/(1-0.1475*D235))*D235*D233</f>
        <v>12.693875285661331</v>
      </c>
      <c r="E237" s="23"/>
      <c r="F237" s="23">
        <f xml:space="preserve"> ((4.1+0.0332*F236-0.000009*F236*F236)/(1-0.1475*F235))*F235*F233</f>
        <v>8.2014539184967088</v>
      </c>
    </row>
    <row r="238" spans="2:6" x14ac:dyDescent="0.3">
      <c r="B238" s="11" t="s">
        <v>116</v>
      </c>
      <c r="C238" s="13" t="s">
        <v>3</v>
      </c>
      <c r="D238" s="23">
        <f>0.53*EXP(0.67*LN((D236/1.08)))*D234+0.0071*D236</f>
        <v>16.96742325156486</v>
      </c>
      <c r="E238" s="23"/>
      <c r="F238" s="23">
        <f>0.53*EXP(0.67*LN((F236/1.08)))*F234+0.0071*F236</f>
        <v>8.4835921283935374</v>
      </c>
    </row>
    <row r="239" spans="2:6" x14ac:dyDescent="0.3">
      <c r="B239" s="95" t="s">
        <v>117</v>
      </c>
      <c r="C239" s="16" t="s">
        <v>3</v>
      </c>
      <c r="D239" s="24">
        <f xml:space="preserve"> D238/(D231*LN(D231/D232))*LN((D231/(D231-D232))/(D231/(D231-D232)-D237/D238-1))</f>
        <v>51.400171770608623</v>
      </c>
      <c r="E239" s="24"/>
      <c r="F239" s="24">
        <f xml:space="preserve"> F238/(F231*LN(F231/F232))*LN((F231/(F231-F232))/(F231/(F231-F232)-F237/F238-1))</f>
        <v>31.376596701972797</v>
      </c>
    </row>
  </sheetData>
  <dataValidations count="1">
    <dataValidation type="list" allowBlank="1" showInputMessage="1" showErrorMessage="1" sqref="D25:F26" xr:uid="{50814CD1-F2CA-49BE-819E-C4161EFEFC01}">
      <formula1>$I$5:$I$7</formula1>
    </dataValidation>
  </dataValidations>
  <printOptions horizontalCentered="1"/>
  <pageMargins left="0.39370078740157483" right="0.39370078740157483" top="0.39370078740157483" bottom="0.39370078740157483" header="0.31496062992125984" footer="0.31496062992125984"/>
  <pageSetup paperSize="9" scale="95" orientation="portrait" r:id="rId1"/>
  <rowBreaks count="1" manualBreakCount="1">
    <brk id="53" max="6" man="1"/>
  </rowBreaks>
  <colBreaks count="1" manualBreakCount="1">
    <brk id="7"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41" sqref="H4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2</vt:i4>
      </vt:variant>
    </vt:vector>
  </HeadingPairs>
  <TitlesOfParts>
    <vt:vector size="6" baseType="lpstr">
      <vt:lpstr>Saate</vt:lpstr>
      <vt:lpstr>Laitumen sadon arviointia</vt:lpstr>
      <vt:lpstr>Taustalaskenta</vt:lpstr>
      <vt:lpstr>Syöntikaavat</vt:lpstr>
      <vt:lpstr>'Laitumen sadon arviointia'!Tulostusalue</vt:lpstr>
      <vt:lpstr>Taustalaskenta!Tulostusalue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Karsikas Tomi</dc:creator>
  <cp:lastModifiedBy>Karsikas, Tomi</cp:lastModifiedBy>
  <cp:lastPrinted>2019-09-16T20:30:57Z</cp:lastPrinted>
  <dcterms:created xsi:type="dcterms:W3CDTF">2017-11-25T10:50:31Z</dcterms:created>
  <dcterms:modified xsi:type="dcterms:W3CDTF">2021-10-01T09:12:59Z</dcterms:modified>
</cp:coreProperties>
</file>